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Users/karareester/Downloads/"/>
    </mc:Choice>
  </mc:AlternateContent>
  <xr:revisionPtr revIDLastSave="0" documentId="8_{0F873C5C-16E3-CE4D-AF55-029A996F6904}" xr6:coauthVersionLast="47" xr6:coauthVersionMax="47" xr10:uidLastSave="{00000000-0000-0000-0000-000000000000}"/>
  <bookViews>
    <workbookView xWindow="0" yWindow="760" windowWidth="37940" windowHeight="18800" xr2:uid="{00000000-000D-0000-FFFF-FFFF00000000}"/>
  </bookViews>
  <sheets>
    <sheet name="MeritBonus" sheetId="1" r:id="rId1"/>
    <sheet name="Job Codes" sheetId="2" r:id="rId2"/>
    <sheet name="Dashboard" sheetId="3" r:id="rId3"/>
    <sheet name="Summary" sheetId="4" r:id="rId4"/>
    <sheet name="Performance Summary" sheetId="5" r:id="rId5"/>
    <sheet name="Statement" sheetId="6" r:id="rId6"/>
    <sheet name="Statement2" sheetId="7" r:id="rId7"/>
    <sheet name="Statement Letter" sheetId="8" r:id="rId8"/>
    <sheet name="Data" sheetId="9" r:id="rId9"/>
    <sheet name="CustomChartProperties" sheetId="11" r:id="rId10"/>
    <sheet name="Comp Planning Approach" sheetId="10" r:id="rId11"/>
  </sheets>
  <definedNames>
    <definedName name="Department">Data!$C$24:$C$31</definedName>
    <definedName name="LocationList">Data!$D$2:$D$15</definedName>
    <definedName name="ManagerList">Data!$B$2:$B$25</definedName>
    <definedName name="PositionList">Data!$E$2:$E$25</definedName>
    <definedName name="RatingsList">Data!$A$2:$A$4</definedName>
    <definedName name="RegionList">Data!$C$2:$C$10</definedName>
    <definedName name="ssDepList">Data!$E$24:$F$143</definedName>
    <definedName name="StatusList">Data!$F$2:$F$8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9" l="1"/>
  <c r="G218" i="5"/>
  <c r="F218" i="5"/>
  <c r="E218" i="5"/>
  <c r="D218" i="5"/>
  <c r="B218" i="5"/>
  <c r="L217" i="5"/>
  <c r="K217" i="5"/>
  <c r="J217" i="5"/>
  <c r="G217" i="5"/>
  <c r="F217" i="5"/>
  <c r="E217" i="5"/>
  <c r="D217" i="5"/>
  <c r="B217" i="5"/>
  <c r="I217" i="5" s="1"/>
  <c r="N217" i="5" s="1"/>
  <c r="G216" i="5"/>
  <c r="F216" i="5"/>
  <c r="E216" i="5"/>
  <c r="D216" i="5"/>
  <c r="B216" i="5"/>
  <c r="L215" i="5"/>
  <c r="J215" i="5"/>
  <c r="I215" i="5"/>
  <c r="G215" i="5"/>
  <c r="F215" i="5"/>
  <c r="E215" i="5"/>
  <c r="D215" i="5"/>
  <c r="B215" i="5"/>
  <c r="K215" i="5" s="1"/>
  <c r="G214" i="5"/>
  <c r="F214" i="5"/>
  <c r="E214" i="5"/>
  <c r="D214" i="5"/>
  <c r="B214" i="5"/>
  <c r="L213" i="5"/>
  <c r="J213" i="5"/>
  <c r="I213" i="5"/>
  <c r="G213" i="5"/>
  <c r="F213" i="5"/>
  <c r="E213" i="5"/>
  <c r="D213" i="5"/>
  <c r="B213" i="5"/>
  <c r="K213" i="5" s="1"/>
  <c r="G212" i="5"/>
  <c r="F212" i="5"/>
  <c r="E212" i="5"/>
  <c r="D212" i="5"/>
  <c r="B212" i="5"/>
  <c r="L211" i="5"/>
  <c r="K211" i="5"/>
  <c r="J211" i="5"/>
  <c r="I211" i="5"/>
  <c r="N211" i="5" s="1"/>
  <c r="G211" i="5"/>
  <c r="F211" i="5"/>
  <c r="E211" i="5"/>
  <c r="D211" i="5"/>
  <c r="B211" i="5"/>
  <c r="G210" i="5"/>
  <c r="F210" i="5"/>
  <c r="E210" i="5"/>
  <c r="D210" i="5"/>
  <c r="B210" i="5"/>
  <c r="L209" i="5"/>
  <c r="K209" i="5"/>
  <c r="J209" i="5"/>
  <c r="I209" i="5"/>
  <c r="N209" i="5" s="1"/>
  <c r="G209" i="5"/>
  <c r="F209" i="5"/>
  <c r="E209" i="5"/>
  <c r="D209" i="5"/>
  <c r="B209" i="5"/>
  <c r="G208" i="5"/>
  <c r="F208" i="5"/>
  <c r="E208" i="5"/>
  <c r="D208" i="5"/>
  <c r="B208" i="5"/>
  <c r="L207" i="5"/>
  <c r="K207" i="5"/>
  <c r="J207" i="5"/>
  <c r="I207" i="5"/>
  <c r="G207" i="5"/>
  <c r="F207" i="5"/>
  <c r="E207" i="5"/>
  <c r="D207" i="5"/>
  <c r="B207" i="5"/>
  <c r="G206" i="5"/>
  <c r="F206" i="5"/>
  <c r="E206" i="5"/>
  <c r="D206" i="5"/>
  <c r="B206" i="5"/>
  <c r="L205" i="5"/>
  <c r="K205" i="5"/>
  <c r="I205" i="5"/>
  <c r="G205" i="5"/>
  <c r="F205" i="5"/>
  <c r="E205" i="5"/>
  <c r="D205" i="5"/>
  <c r="B205" i="5"/>
  <c r="J205" i="5" s="1"/>
  <c r="G204" i="5"/>
  <c r="F204" i="5"/>
  <c r="E204" i="5"/>
  <c r="D204" i="5"/>
  <c r="B204" i="5"/>
  <c r="L203" i="5"/>
  <c r="K203" i="5"/>
  <c r="J203" i="5"/>
  <c r="G203" i="5"/>
  <c r="F203" i="5"/>
  <c r="E203" i="5"/>
  <c r="D203" i="5"/>
  <c r="B203" i="5"/>
  <c r="I203" i="5" s="1"/>
  <c r="N203" i="5" s="1"/>
  <c r="G202" i="5"/>
  <c r="F202" i="5"/>
  <c r="E202" i="5"/>
  <c r="D202" i="5"/>
  <c r="B202" i="5"/>
  <c r="L201" i="5"/>
  <c r="K201" i="5"/>
  <c r="I201" i="5"/>
  <c r="G201" i="5"/>
  <c r="F201" i="5"/>
  <c r="E201" i="5"/>
  <c r="D201" i="5"/>
  <c r="B201" i="5"/>
  <c r="J201" i="5" s="1"/>
  <c r="G200" i="5"/>
  <c r="F200" i="5"/>
  <c r="E200" i="5"/>
  <c r="D200" i="5"/>
  <c r="B200" i="5"/>
  <c r="L199" i="5"/>
  <c r="K199" i="5"/>
  <c r="J199" i="5"/>
  <c r="I199" i="5"/>
  <c r="G199" i="5"/>
  <c r="F199" i="5"/>
  <c r="E199" i="5"/>
  <c r="D199" i="5"/>
  <c r="B199" i="5"/>
  <c r="G198" i="5"/>
  <c r="F198" i="5"/>
  <c r="E198" i="5"/>
  <c r="D198" i="5"/>
  <c r="B198" i="5"/>
  <c r="L197" i="5"/>
  <c r="K197" i="5"/>
  <c r="J197" i="5"/>
  <c r="I197" i="5"/>
  <c r="N197" i="5" s="1"/>
  <c r="G197" i="5"/>
  <c r="F197" i="5"/>
  <c r="E197" i="5"/>
  <c r="D197" i="5"/>
  <c r="B197" i="5"/>
  <c r="I196" i="5"/>
  <c r="G196" i="5"/>
  <c r="F196" i="5"/>
  <c r="E196" i="5"/>
  <c r="D196" i="5"/>
  <c r="B196" i="5"/>
  <c r="L195" i="5"/>
  <c r="J195" i="5"/>
  <c r="N195" i="5" s="1"/>
  <c r="I195" i="5"/>
  <c r="G195" i="5"/>
  <c r="F195" i="5"/>
  <c r="E195" i="5"/>
  <c r="D195" i="5"/>
  <c r="B195" i="5"/>
  <c r="K195" i="5" s="1"/>
  <c r="G194" i="5"/>
  <c r="F194" i="5"/>
  <c r="E194" i="5"/>
  <c r="D194" i="5"/>
  <c r="B194" i="5"/>
  <c r="L193" i="5"/>
  <c r="K193" i="5"/>
  <c r="I193" i="5"/>
  <c r="G193" i="5"/>
  <c r="F193" i="5"/>
  <c r="E193" i="5"/>
  <c r="D193" i="5"/>
  <c r="B193" i="5"/>
  <c r="J193" i="5" s="1"/>
  <c r="N193" i="5" s="1"/>
  <c r="G192" i="5"/>
  <c r="F192" i="5"/>
  <c r="E192" i="5"/>
  <c r="D192" i="5"/>
  <c r="B192" i="5"/>
  <c r="L191" i="5"/>
  <c r="K191" i="5"/>
  <c r="J191" i="5"/>
  <c r="G191" i="5"/>
  <c r="F191" i="5"/>
  <c r="E191" i="5"/>
  <c r="D191" i="5"/>
  <c r="B191" i="5"/>
  <c r="I191" i="5" s="1"/>
  <c r="N191" i="5" s="1"/>
  <c r="I190" i="5"/>
  <c r="G190" i="5"/>
  <c r="F190" i="5"/>
  <c r="E190" i="5"/>
  <c r="D190" i="5"/>
  <c r="B190" i="5"/>
  <c r="J190" i="5" s="1"/>
  <c r="L189" i="5"/>
  <c r="N189" i="5" s="1"/>
  <c r="K189" i="5"/>
  <c r="J189" i="5"/>
  <c r="I189" i="5"/>
  <c r="G189" i="5"/>
  <c r="F189" i="5"/>
  <c r="E189" i="5"/>
  <c r="D189" i="5"/>
  <c r="B189" i="5"/>
  <c r="G188" i="5"/>
  <c r="F188" i="5"/>
  <c r="E188" i="5"/>
  <c r="D188" i="5"/>
  <c r="B188" i="5"/>
  <c r="L187" i="5"/>
  <c r="K187" i="5"/>
  <c r="J187" i="5"/>
  <c r="I187" i="5"/>
  <c r="N187" i="5" s="1"/>
  <c r="G187" i="5"/>
  <c r="F187" i="5"/>
  <c r="E187" i="5"/>
  <c r="D187" i="5"/>
  <c r="B187" i="5"/>
  <c r="I186" i="5"/>
  <c r="G186" i="5"/>
  <c r="J186" i="5" s="1"/>
  <c r="F186" i="5"/>
  <c r="E186" i="5"/>
  <c r="D186" i="5"/>
  <c r="B186" i="5"/>
  <c r="L185" i="5"/>
  <c r="K185" i="5"/>
  <c r="J185" i="5"/>
  <c r="I185" i="5"/>
  <c r="G185" i="5"/>
  <c r="F185" i="5"/>
  <c r="E185" i="5"/>
  <c r="D185" i="5"/>
  <c r="B185" i="5"/>
  <c r="G184" i="5"/>
  <c r="F184" i="5"/>
  <c r="E184" i="5"/>
  <c r="D184" i="5"/>
  <c r="B184" i="5"/>
  <c r="L183" i="5"/>
  <c r="K183" i="5"/>
  <c r="J183" i="5"/>
  <c r="I183" i="5"/>
  <c r="N183" i="5" s="1"/>
  <c r="G183" i="5"/>
  <c r="F183" i="5"/>
  <c r="E183" i="5"/>
  <c r="D183" i="5"/>
  <c r="B183" i="5"/>
  <c r="I182" i="5"/>
  <c r="G182" i="5"/>
  <c r="F182" i="5"/>
  <c r="E182" i="5"/>
  <c r="D182" i="5"/>
  <c r="B182" i="5"/>
  <c r="L181" i="5"/>
  <c r="K181" i="5"/>
  <c r="J181" i="5"/>
  <c r="N181" i="5" s="1"/>
  <c r="I181" i="5"/>
  <c r="G181" i="5"/>
  <c r="F181" i="5"/>
  <c r="E181" i="5"/>
  <c r="D181" i="5"/>
  <c r="B181" i="5"/>
  <c r="G180" i="5"/>
  <c r="F180" i="5"/>
  <c r="E180" i="5"/>
  <c r="D180" i="5"/>
  <c r="B180" i="5"/>
  <c r="L179" i="5"/>
  <c r="K179" i="5"/>
  <c r="J179" i="5"/>
  <c r="I179" i="5"/>
  <c r="G179" i="5"/>
  <c r="F179" i="5"/>
  <c r="E179" i="5"/>
  <c r="D179" i="5"/>
  <c r="B179" i="5"/>
  <c r="I178" i="5"/>
  <c r="G178" i="5"/>
  <c r="J178" i="5" s="1"/>
  <c r="F178" i="5"/>
  <c r="E178" i="5"/>
  <c r="D178" i="5"/>
  <c r="B178" i="5"/>
  <c r="L177" i="5"/>
  <c r="K177" i="5"/>
  <c r="J177" i="5"/>
  <c r="I177" i="5"/>
  <c r="G177" i="5"/>
  <c r="F177" i="5"/>
  <c r="E177" i="5"/>
  <c r="D177" i="5"/>
  <c r="B177" i="5"/>
  <c r="G176" i="5"/>
  <c r="F176" i="5"/>
  <c r="E176" i="5"/>
  <c r="D176" i="5"/>
  <c r="B176" i="5"/>
  <c r="L175" i="5"/>
  <c r="K175" i="5"/>
  <c r="J175" i="5"/>
  <c r="I175" i="5"/>
  <c r="N175" i="5" s="1"/>
  <c r="G175" i="5"/>
  <c r="F175" i="5"/>
  <c r="E175" i="5"/>
  <c r="D175" i="5"/>
  <c r="B175" i="5"/>
  <c r="G174" i="5"/>
  <c r="J174" i="5" s="1"/>
  <c r="F174" i="5"/>
  <c r="E174" i="5"/>
  <c r="D174" i="5"/>
  <c r="B174" i="5"/>
  <c r="I174" i="5" s="1"/>
  <c r="L173" i="5"/>
  <c r="K173" i="5"/>
  <c r="J173" i="5"/>
  <c r="G173" i="5"/>
  <c r="F173" i="5"/>
  <c r="E173" i="5"/>
  <c r="D173" i="5"/>
  <c r="B173" i="5"/>
  <c r="I173" i="5" s="1"/>
  <c r="N173" i="5" s="1"/>
  <c r="G172" i="5"/>
  <c r="F172" i="5"/>
  <c r="E172" i="5"/>
  <c r="D172" i="5"/>
  <c r="B172" i="5"/>
  <c r="L171" i="5"/>
  <c r="K171" i="5"/>
  <c r="J171" i="5"/>
  <c r="G171" i="5"/>
  <c r="F171" i="5"/>
  <c r="E171" i="5"/>
  <c r="D171" i="5"/>
  <c r="B171" i="5"/>
  <c r="I171" i="5" s="1"/>
  <c r="I170" i="5"/>
  <c r="G170" i="5"/>
  <c r="J170" i="5" s="1"/>
  <c r="F170" i="5"/>
  <c r="E170" i="5"/>
  <c r="D170" i="5"/>
  <c r="B170" i="5"/>
  <c r="L169" i="5"/>
  <c r="K169" i="5"/>
  <c r="J169" i="5"/>
  <c r="N169" i="5" s="1"/>
  <c r="I169" i="5"/>
  <c r="G169" i="5"/>
  <c r="F169" i="5"/>
  <c r="E169" i="5"/>
  <c r="D169" i="5"/>
  <c r="B169" i="5"/>
  <c r="G168" i="5"/>
  <c r="F168" i="5"/>
  <c r="E168" i="5"/>
  <c r="D168" i="5"/>
  <c r="B168" i="5"/>
  <c r="L167" i="5"/>
  <c r="K167" i="5"/>
  <c r="J167" i="5"/>
  <c r="I167" i="5"/>
  <c r="N167" i="5" s="1"/>
  <c r="G167" i="5"/>
  <c r="F167" i="5"/>
  <c r="E167" i="5"/>
  <c r="D167" i="5"/>
  <c r="B167" i="5"/>
  <c r="G166" i="5"/>
  <c r="J166" i="5" s="1"/>
  <c r="F166" i="5"/>
  <c r="E166" i="5"/>
  <c r="D166" i="5"/>
  <c r="B166" i="5"/>
  <c r="I166" i="5" s="1"/>
  <c r="L165" i="5"/>
  <c r="K165" i="5"/>
  <c r="J165" i="5"/>
  <c r="N165" i="5" s="1"/>
  <c r="I165" i="5"/>
  <c r="G165" i="5"/>
  <c r="F165" i="5"/>
  <c r="E165" i="5"/>
  <c r="D165" i="5"/>
  <c r="B165" i="5"/>
  <c r="G164" i="5"/>
  <c r="F164" i="5"/>
  <c r="E164" i="5"/>
  <c r="D164" i="5"/>
  <c r="B164" i="5"/>
  <c r="L163" i="5"/>
  <c r="K163" i="5"/>
  <c r="J163" i="5"/>
  <c r="I163" i="5"/>
  <c r="G163" i="5"/>
  <c r="F163" i="5"/>
  <c r="E163" i="5"/>
  <c r="D163" i="5"/>
  <c r="B163" i="5"/>
  <c r="I162" i="5"/>
  <c r="G162" i="5"/>
  <c r="J162" i="5" s="1"/>
  <c r="F162" i="5"/>
  <c r="E162" i="5"/>
  <c r="D162" i="5"/>
  <c r="B162" i="5"/>
  <c r="L161" i="5"/>
  <c r="K161" i="5"/>
  <c r="J161" i="5"/>
  <c r="G161" i="5"/>
  <c r="F161" i="5"/>
  <c r="E161" i="5"/>
  <c r="D161" i="5"/>
  <c r="B161" i="5"/>
  <c r="I161" i="5" s="1"/>
  <c r="N161" i="5" s="1"/>
  <c r="G160" i="5"/>
  <c r="F160" i="5"/>
  <c r="E160" i="5"/>
  <c r="D160" i="5"/>
  <c r="B160" i="5"/>
  <c r="L159" i="5"/>
  <c r="K159" i="5"/>
  <c r="J159" i="5"/>
  <c r="I159" i="5"/>
  <c r="G159" i="5"/>
  <c r="F159" i="5"/>
  <c r="E159" i="5"/>
  <c r="D159" i="5"/>
  <c r="B159" i="5"/>
  <c r="I158" i="5"/>
  <c r="G158" i="5"/>
  <c r="J158" i="5" s="1"/>
  <c r="F158" i="5"/>
  <c r="E158" i="5"/>
  <c r="D158" i="5"/>
  <c r="B158" i="5"/>
  <c r="L157" i="5"/>
  <c r="J157" i="5"/>
  <c r="G157" i="5"/>
  <c r="K157" i="5" s="1"/>
  <c r="F157" i="5"/>
  <c r="E157" i="5"/>
  <c r="D157" i="5"/>
  <c r="B157" i="5"/>
  <c r="I156" i="5"/>
  <c r="G156" i="5"/>
  <c r="L156" i="5" s="1"/>
  <c r="F156" i="5"/>
  <c r="E156" i="5"/>
  <c r="D156" i="5"/>
  <c r="B156" i="5"/>
  <c r="L155" i="5"/>
  <c r="J155" i="5"/>
  <c r="G155" i="5"/>
  <c r="I155" i="5" s="1"/>
  <c r="F155" i="5"/>
  <c r="E155" i="5"/>
  <c r="D155" i="5"/>
  <c r="B155" i="5"/>
  <c r="G154" i="5"/>
  <c r="L154" i="5" s="1"/>
  <c r="F154" i="5"/>
  <c r="E154" i="5"/>
  <c r="D154" i="5"/>
  <c r="B154" i="5"/>
  <c r="G153" i="5"/>
  <c r="F153" i="5"/>
  <c r="E153" i="5"/>
  <c r="D153" i="5"/>
  <c r="B153" i="5"/>
  <c r="J152" i="5"/>
  <c r="N152" i="5" s="1"/>
  <c r="I152" i="5"/>
  <c r="G152" i="5"/>
  <c r="L152" i="5" s="1"/>
  <c r="F152" i="5"/>
  <c r="E152" i="5"/>
  <c r="D152" i="5"/>
  <c r="B152" i="5"/>
  <c r="K152" i="5" s="1"/>
  <c r="G151" i="5"/>
  <c r="F151" i="5"/>
  <c r="E151" i="5"/>
  <c r="D151" i="5"/>
  <c r="B151" i="5"/>
  <c r="K150" i="5"/>
  <c r="J150" i="5"/>
  <c r="G150" i="5"/>
  <c r="L150" i="5" s="1"/>
  <c r="F150" i="5"/>
  <c r="E150" i="5"/>
  <c r="D150" i="5"/>
  <c r="B150" i="5"/>
  <c r="I150" i="5" s="1"/>
  <c r="N150" i="5" s="1"/>
  <c r="L149" i="5"/>
  <c r="K149" i="5"/>
  <c r="J149" i="5"/>
  <c r="G149" i="5"/>
  <c r="I149" i="5" s="1"/>
  <c r="F149" i="5"/>
  <c r="E149" i="5"/>
  <c r="D149" i="5"/>
  <c r="B149" i="5"/>
  <c r="G148" i="5"/>
  <c r="F148" i="5"/>
  <c r="E148" i="5"/>
  <c r="D148" i="5"/>
  <c r="B148" i="5"/>
  <c r="N147" i="5"/>
  <c r="L147" i="5"/>
  <c r="K147" i="5"/>
  <c r="J147" i="5"/>
  <c r="I147" i="5"/>
  <c r="G147" i="5"/>
  <c r="F147" i="5"/>
  <c r="E147" i="5"/>
  <c r="D147" i="5"/>
  <c r="B147" i="5"/>
  <c r="I146" i="5"/>
  <c r="G146" i="5"/>
  <c r="F146" i="5"/>
  <c r="E146" i="5"/>
  <c r="D146" i="5"/>
  <c r="B146" i="5"/>
  <c r="N145" i="5"/>
  <c r="L145" i="5"/>
  <c r="K145" i="5"/>
  <c r="I145" i="5"/>
  <c r="G145" i="5"/>
  <c r="F145" i="5"/>
  <c r="E145" i="5"/>
  <c r="D145" i="5"/>
  <c r="B145" i="5"/>
  <c r="J145" i="5" s="1"/>
  <c r="I144" i="5"/>
  <c r="G144" i="5"/>
  <c r="F144" i="5"/>
  <c r="E144" i="5"/>
  <c r="D144" i="5"/>
  <c r="B144" i="5"/>
  <c r="N143" i="5"/>
  <c r="L143" i="5"/>
  <c r="K143" i="5"/>
  <c r="I143" i="5"/>
  <c r="G143" i="5"/>
  <c r="F143" i="5"/>
  <c r="E143" i="5"/>
  <c r="D143" i="5"/>
  <c r="B143" i="5"/>
  <c r="J143" i="5" s="1"/>
  <c r="I142" i="5"/>
  <c r="G142" i="5"/>
  <c r="F142" i="5"/>
  <c r="E142" i="5"/>
  <c r="D142" i="5"/>
  <c r="B142" i="5"/>
  <c r="N141" i="5"/>
  <c r="L141" i="5"/>
  <c r="K141" i="5"/>
  <c r="I141" i="5"/>
  <c r="G141" i="5"/>
  <c r="F141" i="5"/>
  <c r="E141" i="5"/>
  <c r="D141" i="5"/>
  <c r="B141" i="5"/>
  <c r="J141" i="5" s="1"/>
  <c r="I140" i="5"/>
  <c r="G140" i="5"/>
  <c r="F140" i="5"/>
  <c r="E140" i="5"/>
  <c r="D140" i="5"/>
  <c r="B140" i="5"/>
  <c r="N139" i="5"/>
  <c r="L139" i="5"/>
  <c r="K139" i="5"/>
  <c r="J139" i="5"/>
  <c r="I139" i="5"/>
  <c r="G139" i="5"/>
  <c r="F139" i="5"/>
  <c r="E139" i="5"/>
  <c r="D139" i="5"/>
  <c r="B139" i="5"/>
  <c r="I138" i="5"/>
  <c r="G138" i="5"/>
  <c r="F138" i="5"/>
  <c r="E138" i="5"/>
  <c r="D138" i="5"/>
  <c r="B138" i="5"/>
  <c r="L137" i="5"/>
  <c r="K137" i="5"/>
  <c r="I137" i="5"/>
  <c r="G137" i="5"/>
  <c r="F137" i="5"/>
  <c r="E137" i="5"/>
  <c r="D137" i="5"/>
  <c r="B137" i="5"/>
  <c r="J137" i="5" s="1"/>
  <c r="N137" i="5" s="1"/>
  <c r="I136" i="5"/>
  <c r="G136" i="5"/>
  <c r="F136" i="5"/>
  <c r="E136" i="5"/>
  <c r="D136" i="5"/>
  <c r="B136" i="5"/>
  <c r="L135" i="5"/>
  <c r="K135" i="5"/>
  <c r="I135" i="5"/>
  <c r="G135" i="5"/>
  <c r="J135" i="5" s="1"/>
  <c r="N135" i="5" s="1"/>
  <c r="F135" i="5"/>
  <c r="E135" i="5"/>
  <c r="D135" i="5"/>
  <c r="B135" i="5"/>
  <c r="I134" i="5"/>
  <c r="G134" i="5"/>
  <c r="F134" i="5"/>
  <c r="E134" i="5"/>
  <c r="D134" i="5"/>
  <c r="B134" i="5"/>
  <c r="L133" i="5"/>
  <c r="K133" i="5"/>
  <c r="G133" i="5"/>
  <c r="J133" i="5" s="1"/>
  <c r="F133" i="5"/>
  <c r="E133" i="5"/>
  <c r="D133" i="5"/>
  <c r="B133" i="5"/>
  <c r="I132" i="5"/>
  <c r="G132" i="5"/>
  <c r="F132" i="5"/>
  <c r="E132" i="5"/>
  <c r="D132" i="5"/>
  <c r="B132" i="5"/>
  <c r="L131" i="5"/>
  <c r="K131" i="5"/>
  <c r="G131" i="5"/>
  <c r="J131" i="5" s="1"/>
  <c r="F131" i="5"/>
  <c r="E131" i="5"/>
  <c r="D131" i="5"/>
  <c r="B131" i="5"/>
  <c r="I130" i="5"/>
  <c r="G130" i="5"/>
  <c r="F130" i="5"/>
  <c r="E130" i="5"/>
  <c r="D130" i="5"/>
  <c r="B130" i="5"/>
  <c r="L129" i="5"/>
  <c r="K129" i="5"/>
  <c r="G129" i="5"/>
  <c r="J129" i="5" s="1"/>
  <c r="F129" i="5"/>
  <c r="E129" i="5"/>
  <c r="D129" i="5"/>
  <c r="B129" i="5"/>
  <c r="G128" i="5"/>
  <c r="F128" i="5"/>
  <c r="E128" i="5"/>
  <c r="D128" i="5"/>
  <c r="B128" i="5"/>
  <c r="I128" i="5" s="1"/>
  <c r="L127" i="5"/>
  <c r="K127" i="5"/>
  <c r="G127" i="5"/>
  <c r="J127" i="5" s="1"/>
  <c r="F127" i="5"/>
  <c r="E127" i="5"/>
  <c r="D127" i="5"/>
  <c r="B127" i="5"/>
  <c r="I126" i="5"/>
  <c r="G126" i="5"/>
  <c r="F126" i="5"/>
  <c r="E126" i="5"/>
  <c r="D126" i="5"/>
  <c r="B126" i="5"/>
  <c r="L125" i="5"/>
  <c r="K125" i="5"/>
  <c r="G125" i="5"/>
  <c r="J125" i="5" s="1"/>
  <c r="F125" i="5"/>
  <c r="E125" i="5"/>
  <c r="D125" i="5"/>
  <c r="B125" i="5"/>
  <c r="I124" i="5"/>
  <c r="G124" i="5"/>
  <c r="F124" i="5"/>
  <c r="E124" i="5"/>
  <c r="D124" i="5"/>
  <c r="B124" i="5"/>
  <c r="L123" i="5"/>
  <c r="K123" i="5"/>
  <c r="G123" i="5"/>
  <c r="J123" i="5" s="1"/>
  <c r="F123" i="5"/>
  <c r="E123" i="5"/>
  <c r="D123" i="5"/>
  <c r="B123" i="5"/>
  <c r="I122" i="5"/>
  <c r="G122" i="5"/>
  <c r="F122" i="5"/>
  <c r="E122" i="5"/>
  <c r="D122" i="5"/>
  <c r="B122" i="5"/>
  <c r="L121" i="5"/>
  <c r="K121" i="5"/>
  <c r="G121" i="5"/>
  <c r="J121" i="5" s="1"/>
  <c r="F121" i="5"/>
  <c r="E121" i="5"/>
  <c r="D121" i="5"/>
  <c r="B121" i="5"/>
  <c r="I120" i="5"/>
  <c r="G120" i="5"/>
  <c r="F120" i="5"/>
  <c r="E120" i="5"/>
  <c r="D120" i="5"/>
  <c r="B120" i="5"/>
  <c r="L119" i="5"/>
  <c r="K119" i="5"/>
  <c r="G119" i="5"/>
  <c r="I119" i="5" s="1"/>
  <c r="F119" i="5"/>
  <c r="E119" i="5"/>
  <c r="D119" i="5"/>
  <c r="B119" i="5"/>
  <c r="J119" i="5" s="1"/>
  <c r="G118" i="5"/>
  <c r="L118" i="5" s="1"/>
  <c r="F118" i="5"/>
  <c r="E118" i="5"/>
  <c r="D118" i="5"/>
  <c r="B118" i="5"/>
  <c r="L117" i="5"/>
  <c r="K117" i="5"/>
  <c r="J117" i="5"/>
  <c r="N117" i="5" s="1"/>
  <c r="G117" i="5"/>
  <c r="I117" i="5" s="1"/>
  <c r="F117" i="5"/>
  <c r="E117" i="5"/>
  <c r="D117" i="5"/>
  <c r="B117" i="5"/>
  <c r="K116" i="5"/>
  <c r="G116" i="5"/>
  <c r="L116" i="5" s="1"/>
  <c r="F116" i="5"/>
  <c r="E116" i="5"/>
  <c r="D116" i="5"/>
  <c r="B116" i="5"/>
  <c r="J116" i="5" s="1"/>
  <c r="L115" i="5"/>
  <c r="K115" i="5"/>
  <c r="G115" i="5"/>
  <c r="I115" i="5" s="1"/>
  <c r="F115" i="5"/>
  <c r="E115" i="5"/>
  <c r="D115" i="5"/>
  <c r="B115" i="5"/>
  <c r="J115" i="5" s="1"/>
  <c r="G114" i="5"/>
  <c r="L114" i="5" s="1"/>
  <c r="F114" i="5"/>
  <c r="E114" i="5"/>
  <c r="D114" i="5"/>
  <c r="B114" i="5"/>
  <c r="L113" i="5"/>
  <c r="K113" i="5"/>
  <c r="J113" i="5"/>
  <c r="N113" i="5" s="1"/>
  <c r="G113" i="5"/>
  <c r="I113" i="5" s="1"/>
  <c r="F113" i="5"/>
  <c r="E113" i="5"/>
  <c r="D113" i="5"/>
  <c r="B113" i="5"/>
  <c r="K112" i="5"/>
  <c r="G112" i="5"/>
  <c r="L112" i="5" s="1"/>
  <c r="F112" i="5"/>
  <c r="E112" i="5"/>
  <c r="D112" i="5"/>
  <c r="B112" i="5"/>
  <c r="J112" i="5" s="1"/>
  <c r="L111" i="5"/>
  <c r="K111" i="5"/>
  <c r="G111" i="5"/>
  <c r="I111" i="5" s="1"/>
  <c r="N111" i="5" s="1"/>
  <c r="F111" i="5"/>
  <c r="E111" i="5"/>
  <c r="D111" i="5"/>
  <c r="B111" i="5"/>
  <c r="J111" i="5" s="1"/>
  <c r="G110" i="5"/>
  <c r="L110" i="5" s="1"/>
  <c r="F110" i="5"/>
  <c r="E110" i="5"/>
  <c r="D110" i="5"/>
  <c r="B110" i="5"/>
  <c r="L109" i="5"/>
  <c r="K109" i="5"/>
  <c r="J109" i="5"/>
  <c r="N109" i="5" s="1"/>
  <c r="G109" i="5"/>
  <c r="I109" i="5" s="1"/>
  <c r="F109" i="5"/>
  <c r="E109" i="5"/>
  <c r="D109" i="5"/>
  <c r="B109" i="5"/>
  <c r="K108" i="5"/>
  <c r="G108" i="5"/>
  <c r="L108" i="5" s="1"/>
  <c r="F108" i="5"/>
  <c r="E108" i="5"/>
  <c r="D108" i="5"/>
  <c r="B108" i="5"/>
  <c r="J108" i="5" s="1"/>
  <c r="G107" i="5"/>
  <c r="I107" i="5" s="1"/>
  <c r="F107" i="5"/>
  <c r="E107" i="5"/>
  <c r="D107" i="5"/>
  <c r="B107" i="5"/>
  <c r="L106" i="5"/>
  <c r="K106" i="5"/>
  <c r="J106" i="5"/>
  <c r="I106" i="5"/>
  <c r="N106" i="5" s="1"/>
  <c r="G106" i="5"/>
  <c r="F106" i="5"/>
  <c r="E106" i="5"/>
  <c r="D106" i="5"/>
  <c r="B106" i="5"/>
  <c r="L105" i="5"/>
  <c r="J105" i="5"/>
  <c r="G105" i="5"/>
  <c r="K105" i="5" s="1"/>
  <c r="F105" i="5"/>
  <c r="E105" i="5"/>
  <c r="D105" i="5"/>
  <c r="B105" i="5"/>
  <c r="I105" i="5" s="1"/>
  <c r="L104" i="5"/>
  <c r="K104" i="5"/>
  <c r="I104" i="5"/>
  <c r="G104" i="5"/>
  <c r="F104" i="5"/>
  <c r="E104" i="5"/>
  <c r="D104" i="5"/>
  <c r="B104" i="5"/>
  <c r="J104" i="5" s="1"/>
  <c r="L103" i="5"/>
  <c r="J103" i="5"/>
  <c r="G103" i="5"/>
  <c r="K103" i="5" s="1"/>
  <c r="F103" i="5"/>
  <c r="E103" i="5"/>
  <c r="D103" i="5"/>
  <c r="B103" i="5"/>
  <c r="I103" i="5" s="1"/>
  <c r="L102" i="5"/>
  <c r="K102" i="5"/>
  <c r="I102" i="5"/>
  <c r="N102" i="5" s="1"/>
  <c r="G102" i="5"/>
  <c r="F102" i="5"/>
  <c r="E102" i="5"/>
  <c r="D102" i="5"/>
  <c r="B102" i="5"/>
  <c r="J102" i="5" s="1"/>
  <c r="L101" i="5"/>
  <c r="J101" i="5"/>
  <c r="I101" i="5"/>
  <c r="G101" i="5"/>
  <c r="K101" i="5" s="1"/>
  <c r="N101" i="5" s="1"/>
  <c r="F101" i="5"/>
  <c r="E101" i="5"/>
  <c r="D101" i="5"/>
  <c r="B101" i="5"/>
  <c r="L100" i="5"/>
  <c r="K100" i="5"/>
  <c r="J100" i="5"/>
  <c r="I100" i="5"/>
  <c r="N100" i="5" s="1"/>
  <c r="G100" i="5"/>
  <c r="F100" i="5"/>
  <c r="E100" i="5"/>
  <c r="D100" i="5"/>
  <c r="B100" i="5"/>
  <c r="L99" i="5"/>
  <c r="J99" i="5"/>
  <c r="G99" i="5"/>
  <c r="K99" i="5" s="1"/>
  <c r="F99" i="5"/>
  <c r="E99" i="5"/>
  <c r="D99" i="5"/>
  <c r="B99" i="5"/>
  <c r="I99" i="5" s="1"/>
  <c r="L98" i="5"/>
  <c r="K98" i="5"/>
  <c r="I98" i="5"/>
  <c r="N98" i="5" s="1"/>
  <c r="G98" i="5"/>
  <c r="F98" i="5"/>
  <c r="E98" i="5"/>
  <c r="D98" i="5"/>
  <c r="B98" i="5"/>
  <c r="J98" i="5" s="1"/>
  <c r="L97" i="5"/>
  <c r="I97" i="5"/>
  <c r="G97" i="5"/>
  <c r="K97" i="5" s="1"/>
  <c r="F97" i="5"/>
  <c r="E97" i="5"/>
  <c r="D97" i="5"/>
  <c r="B97" i="5"/>
  <c r="J97" i="5" s="1"/>
  <c r="N97" i="5" s="1"/>
  <c r="L96" i="5"/>
  <c r="K96" i="5"/>
  <c r="I96" i="5"/>
  <c r="G96" i="5"/>
  <c r="F96" i="5"/>
  <c r="E96" i="5"/>
  <c r="D96" i="5"/>
  <c r="B96" i="5"/>
  <c r="J96" i="5" s="1"/>
  <c r="L95" i="5"/>
  <c r="I95" i="5"/>
  <c r="G95" i="5"/>
  <c r="K95" i="5" s="1"/>
  <c r="F95" i="5"/>
  <c r="E95" i="5"/>
  <c r="D95" i="5"/>
  <c r="B95" i="5"/>
  <c r="J95" i="5" s="1"/>
  <c r="N95" i="5" s="1"/>
  <c r="L94" i="5"/>
  <c r="J94" i="5"/>
  <c r="I94" i="5"/>
  <c r="G94" i="5"/>
  <c r="F94" i="5"/>
  <c r="E94" i="5"/>
  <c r="D94" i="5"/>
  <c r="B94" i="5"/>
  <c r="K94" i="5" s="1"/>
  <c r="L93" i="5"/>
  <c r="J93" i="5"/>
  <c r="G93" i="5"/>
  <c r="K93" i="5" s="1"/>
  <c r="F93" i="5"/>
  <c r="E93" i="5"/>
  <c r="D93" i="5"/>
  <c r="B93" i="5"/>
  <c r="I93" i="5" s="1"/>
  <c r="N93" i="5" s="1"/>
  <c r="L92" i="5"/>
  <c r="K92" i="5"/>
  <c r="I92" i="5"/>
  <c r="G92" i="5"/>
  <c r="F92" i="5"/>
  <c r="E92" i="5"/>
  <c r="D92" i="5"/>
  <c r="B92" i="5"/>
  <c r="J92" i="5" s="1"/>
  <c r="L91" i="5"/>
  <c r="I91" i="5"/>
  <c r="G91" i="5"/>
  <c r="K91" i="5" s="1"/>
  <c r="F91" i="5"/>
  <c r="E91" i="5"/>
  <c r="D91" i="5"/>
  <c r="B91" i="5"/>
  <c r="J91" i="5" s="1"/>
  <c r="N91" i="5" s="1"/>
  <c r="L90" i="5"/>
  <c r="K90" i="5"/>
  <c r="J90" i="5"/>
  <c r="I90" i="5"/>
  <c r="N90" i="5" s="1"/>
  <c r="G90" i="5"/>
  <c r="F90" i="5"/>
  <c r="E90" i="5"/>
  <c r="D90" i="5"/>
  <c r="B90" i="5"/>
  <c r="L89" i="5"/>
  <c r="J89" i="5"/>
  <c r="G89" i="5"/>
  <c r="K89" i="5" s="1"/>
  <c r="F89" i="5"/>
  <c r="E89" i="5"/>
  <c r="D89" i="5"/>
  <c r="B89" i="5"/>
  <c r="I89" i="5" s="1"/>
  <c r="N89" i="5" s="1"/>
  <c r="L88" i="5"/>
  <c r="J88" i="5"/>
  <c r="I88" i="5"/>
  <c r="N88" i="5" s="1"/>
  <c r="G88" i="5"/>
  <c r="F88" i="5"/>
  <c r="E88" i="5"/>
  <c r="D88" i="5"/>
  <c r="B88" i="5"/>
  <c r="K88" i="5" s="1"/>
  <c r="L87" i="5"/>
  <c r="I87" i="5"/>
  <c r="G87" i="5"/>
  <c r="K87" i="5" s="1"/>
  <c r="F87" i="5"/>
  <c r="E87" i="5"/>
  <c r="D87" i="5"/>
  <c r="B87" i="5"/>
  <c r="J87" i="5" s="1"/>
  <c r="L86" i="5"/>
  <c r="K86" i="5"/>
  <c r="J86" i="5"/>
  <c r="I86" i="5"/>
  <c r="N86" i="5" s="1"/>
  <c r="G86" i="5"/>
  <c r="F86" i="5"/>
  <c r="E86" i="5"/>
  <c r="D86" i="5"/>
  <c r="B86" i="5"/>
  <c r="L85" i="5"/>
  <c r="J85" i="5"/>
  <c r="G85" i="5"/>
  <c r="K85" i="5" s="1"/>
  <c r="F85" i="5"/>
  <c r="E85" i="5"/>
  <c r="D85" i="5"/>
  <c r="B85" i="5"/>
  <c r="I85" i="5" s="1"/>
  <c r="L84" i="5"/>
  <c r="K84" i="5"/>
  <c r="I84" i="5"/>
  <c r="N84" i="5" s="1"/>
  <c r="G84" i="5"/>
  <c r="F84" i="5"/>
  <c r="E84" i="5"/>
  <c r="D84" i="5"/>
  <c r="B84" i="5"/>
  <c r="J84" i="5" s="1"/>
  <c r="L83" i="5"/>
  <c r="G83" i="5"/>
  <c r="K83" i="5" s="1"/>
  <c r="F83" i="5"/>
  <c r="E83" i="5"/>
  <c r="D83" i="5"/>
  <c r="B83" i="5"/>
  <c r="J83" i="5" s="1"/>
  <c r="L82" i="5"/>
  <c r="K82" i="5"/>
  <c r="I82" i="5"/>
  <c r="G82" i="5"/>
  <c r="F82" i="5"/>
  <c r="E82" i="5"/>
  <c r="D82" i="5"/>
  <c r="B82" i="5"/>
  <c r="J82" i="5" s="1"/>
  <c r="L81" i="5"/>
  <c r="G81" i="5"/>
  <c r="K81" i="5" s="1"/>
  <c r="F81" i="5"/>
  <c r="E81" i="5"/>
  <c r="D81" i="5"/>
  <c r="B81" i="5"/>
  <c r="J81" i="5" s="1"/>
  <c r="L80" i="5"/>
  <c r="K80" i="5"/>
  <c r="I80" i="5"/>
  <c r="G80" i="5"/>
  <c r="F80" i="5"/>
  <c r="E80" i="5"/>
  <c r="D80" i="5"/>
  <c r="B80" i="5"/>
  <c r="J80" i="5" s="1"/>
  <c r="L79" i="5"/>
  <c r="G79" i="5"/>
  <c r="K79" i="5" s="1"/>
  <c r="F79" i="5"/>
  <c r="E79" i="5"/>
  <c r="D79" i="5"/>
  <c r="B79" i="5"/>
  <c r="J79" i="5" s="1"/>
  <c r="L78" i="5"/>
  <c r="K78" i="5"/>
  <c r="I78" i="5"/>
  <c r="G78" i="5"/>
  <c r="F78" i="5"/>
  <c r="E78" i="5"/>
  <c r="D78" i="5"/>
  <c r="B78" i="5"/>
  <c r="J78" i="5" s="1"/>
  <c r="L77" i="5"/>
  <c r="G77" i="5"/>
  <c r="K77" i="5" s="1"/>
  <c r="F77" i="5"/>
  <c r="E77" i="5"/>
  <c r="D77" i="5"/>
  <c r="B77" i="5"/>
  <c r="J77" i="5" s="1"/>
  <c r="L76" i="5"/>
  <c r="K76" i="5"/>
  <c r="I76" i="5"/>
  <c r="N76" i="5" s="1"/>
  <c r="G76" i="5"/>
  <c r="F76" i="5"/>
  <c r="E76" i="5"/>
  <c r="D76" i="5"/>
  <c r="B76" i="5"/>
  <c r="J76" i="5" s="1"/>
  <c r="L75" i="5"/>
  <c r="G75" i="5"/>
  <c r="K75" i="5" s="1"/>
  <c r="F75" i="5"/>
  <c r="E75" i="5"/>
  <c r="D75" i="5"/>
  <c r="B75" i="5"/>
  <c r="J75" i="5" s="1"/>
  <c r="L74" i="5"/>
  <c r="K74" i="5"/>
  <c r="I74" i="5"/>
  <c r="G74" i="5"/>
  <c r="F74" i="5"/>
  <c r="E74" i="5"/>
  <c r="D74" i="5"/>
  <c r="B74" i="5"/>
  <c r="J74" i="5" s="1"/>
  <c r="L73" i="5"/>
  <c r="J73" i="5"/>
  <c r="G73" i="5"/>
  <c r="K73" i="5" s="1"/>
  <c r="F73" i="5"/>
  <c r="E73" i="5"/>
  <c r="D73" i="5"/>
  <c r="B73" i="5"/>
  <c r="L72" i="5"/>
  <c r="K72" i="5"/>
  <c r="I72" i="5"/>
  <c r="G72" i="5"/>
  <c r="F72" i="5"/>
  <c r="E72" i="5"/>
  <c r="D72" i="5"/>
  <c r="B72" i="5"/>
  <c r="J72" i="5" s="1"/>
  <c r="L71" i="5"/>
  <c r="G71" i="5"/>
  <c r="K71" i="5" s="1"/>
  <c r="F71" i="5"/>
  <c r="E71" i="5"/>
  <c r="D71" i="5"/>
  <c r="B71" i="5"/>
  <c r="J71" i="5" s="1"/>
  <c r="L70" i="5"/>
  <c r="J70" i="5"/>
  <c r="I70" i="5"/>
  <c r="G70" i="5"/>
  <c r="F70" i="5"/>
  <c r="E70" i="5"/>
  <c r="D70" i="5"/>
  <c r="B70" i="5"/>
  <c r="K70" i="5" s="1"/>
  <c r="L69" i="5"/>
  <c r="G69" i="5"/>
  <c r="K69" i="5" s="1"/>
  <c r="F69" i="5"/>
  <c r="E69" i="5"/>
  <c r="D69" i="5"/>
  <c r="B69" i="5"/>
  <c r="J69" i="5" s="1"/>
  <c r="L68" i="5"/>
  <c r="K68" i="5"/>
  <c r="I68" i="5"/>
  <c r="G68" i="5"/>
  <c r="F68" i="5"/>
  <c r="E68" i="5"/>
  <c r="D68" i="5"/>
  <c r="B68" i="5"/>
  <c r="J68" i="5" s="1"/>
  <c r="L67" i="5"/>
  <c r="J67" i="5"/>
  <c r="G67" i="5"/>
  <c r="K67" i="5" s="1"/>
  <c r="F67" i="5"/>
  <c r="E67" i="5"/>
  <c r="D67" i="5"/>
  <c r="B67" i="5"/>
  <c r="L66" i="5"/>
  <c r="K66" i="5"/>
  <c r="J66" i="5"/>
  <c r="I66" i="5"/>
  <c r="N66" i="5" s="1"/>
  <c r="G66" i="5"/>
  <c r="F66" i="5"/>
  <c r="E66" i="5"/>
  <c r="D66" i="5"/>
  <c r="B66" i="5"/>
  <c r="L65" i="5"/>
  <c r="G65" i="5"/>
  <c r="K65" i="5" s="1"/>
  <c r="F65" i="5"/>
  <c r="E65" i="5"/>
  <c r="D65" i="5"/>
  <c r="B65" i="5"/>
  <c r="J65" i="5" s="1"/>
  <c r="L64" i="5"/>
  <c r="K64" i="5"/>
  <c r="J64" i="5"/>
  <c r="I64" i="5"/>
  <c r="N64" i="5" s="1"/>
  <c r="G64" i="5"/>
  <c r="F64" i="5"/>
  <c r="E64" i="5"/>
  <c r="D64" i="5"/>
  <c r="B64" i="5"/>
  <c r="L63" i="5"/>
  <c r="J63" i="5"/>
  <c r="G63" i="5"/>
  <c r="K63" i="5" s="1"/>
  <c r="F63" i="5"/>
  <c r="E63" i="5"/>
  <c r="D63" i="5"/>
  <c r="B63" i="5"/>
  <c r="L62" i="5"/>
  <c r="J62" i="5"/>
  <c r="I62" i="5"/>
  <c r="N62" i="5" s="1"/>
  <c r="G62" i="5"/>
  <c r="F62" i="5"/>
  <c r="E62" i="5"/>
  <c r="D62" i="5"/>
  <c r="B62" i="5"/>
  <c r="K62" i="5" s="1"/>
  <c r="L61" i="5"/>
  <c r="G61" i="5"/>
  <c r="K61" i="5" s="1"/>
  <c r="F61" i="5"/>
  <c r="E61" i="5"/>
  <c r="D61" i="5"/>
  <c r="B61" i="5"/>
  <c r="J61" i="5" s="1"/>
  <c r="L60" i="5"/>
  <c r="K60" i="5"/>
  <c r="J60" i="5"/>
  <c r="I60" i="5"/>
  <c r="N60" i="5" s="1"/>
  <c r="G60" i="5"/>
  <c r="F60" i="5"/>
  <c r="E60" i="5"/>
  <c r="D60" i="5"/>
  <c r="B60" i="5"/>
  <c r="L59" i="5"/>
  <c r="G59" i="5"/>
  <c r="K59" i="5" s="1"/>
  <c r="F59" i="5"/>
  <c r="E59" i="5"/>
  <c r="D59" i="5"/>
  <c r="B59" i="5"/>
  <c r="J59" i="5" s="1"/>
  <c r="L58" i="5"/>
  <c r="K58" i="5"/>
  <c r="J58" i="5"/>
  <c r="I58" i="5"/>
  <c r="N58" i="5" s="1"/>
  <c r="G58" i="5"/>
  <c r="F58" i="5"/>
  <c r="E58" i="5"/>
  <c r="D58" i="5"/>
  <c r="B58" i="5"/>
  <c r="L57" i="5"/>
  <c r="G57" i="5"/>
  <c r="K57" i="5" s="1"/>
  <c r="F57" i="5"/>
  <c r="E57" i="5"/>
  <c r="D57" i="5"/>
  <c r="B57" i="5"/>
  <c r="J57" i="5" s="1"/>
  <c r="L56" i="5"/>
  <c r="K56" i="5"/>
  <c r="J56" i="5"/>
  <c r="I56" i="5"/>
  <c r="N56" i="5" s="1"/>
  <c r="G56" i="5"/>
  <c r="F56" i="5"/>
  <c r="E56" i="5"/>
  <c r="D56" i="5"/>
  <c r="B56" i="5"/>
  <c r="L55" i="5"/>
  <c r="G55" i="5"/>
  <c r="K55" i="5" s="1"/>
  <c r="F55" i="5"/>
  <c r="E55" i="5"/>
  <c r="D55" i="5"/>
  <c r="B55" i="5"/>
  <c r="J55" i="5" s="1"/>
  <c r="L54" i="5"/>
  <c r="K54" i="5"/>
  <c r="J54" i="5"/>
  <c r="I54" i="5"/>
  <c r="N54" i="5" s="1"/>
  <c r="G54" i="5"/>
  <c r="F54" i="5"/>
  <c r="E54" i="5"/>
  <c r="D54" i="5"/>
  <c r="B54" i="5"/>
  <c r="L53" i="5"/>
  <c r="G53" i="5"/>
  <c r="K53" i="5" s="1"/>
  <c r="F53" i="5"/>
  <c r="E53" i="5"/>
  <c r="D53" i="5"/>
  <c r="B53" i="5"/>
  <c r="J53" i="5" s="1"/>
  <c r="L52" i="5"/>
  <c r="K52" i="5"/>
  <c r="J52" i="5"/>
  <c r="I52" i="5"/>
  <c r="N52" i="5" s="1"/>
  <c r="G52" i="5"/>
  <c r="F52" i="5"/>
  <c r="E52" i="5"/>
  <c r="D52" i="5"/>
  <c r="B52" i="5"/>
  <c r="L51" i="5"/>
  <c r="G51" i="5"/>
  <c r="K51" i="5" s="1"/>
  <c r="F51" i="5"/>
  <c r="E51" i="5"/>
  <c r="D51" i="5"/>
  <c r="B51" i="5"/>
  <c r="J51" i="5" s="1"/>
  <c r="L50" i="5"/>
  <c r="K50" i="5"/>
  <c r="J50" i="5"/>
  <c r="I50" i="5"/>
  <c r="N50" i="5" s="1"/>
  <c r="G50" i="5"/>
  <c r="F50" i="5"/>
  <c r="E50" i="5"/>
  <c r="D50" i="5"/>
  <c r="B50" i="5"/>
  <c r="L49" i="5"/>
  <c r="G49" i="5"/>
  <c r="K49" i="5" s="1"/>
  <c r="F49" i="5"/>
  <c r="E49" i="5"/>
  <c r="D49" i="5"/>
  <c r="B49" i="5"/>
  <c r="J49" i="5" s="1"/>
  <c r="L48" i="5"/>
  <c r="K48" i="5"/>
  <c r="J48" i="5"/>
  <c r="I48" i="5"/>
  <c r="N48" i="5" s="1"/>
  <c r="G48" i="5"/>
  <c r="F48" i="5"/>
  <c r="E48" i="5"/>
  <c r="D48" i="5"/>
  <c r="B48" i="5"/>
  <c r="L47" i="5"/>
  <c r="G47" i="5"/>
  <c r="K47" i="5" s="1"/>
  <c r="F47" i="5"/>
  <c r="E47" i="5"/>
  <c r="D47" i="5"/>
  <c r="B47" i="5"/>
  <c r="J47" i="5" s="1"/>
  <c r="L46" i="5"/>
  <c r="K46" i="5"/>
  <c r="J46" i="5"/>
  <c r="I46" i="5"/>
  <c r="N46" i="5" s="1"/>
  <c r="G46" i="5"/>
  <c r="F46" i="5"/>
  <c r="E46" i="5"/>
  <c r="D46" i="5"/>
  <c r="B46" i="5"/>
  <c r="L45" i="5"/>
  <c r="G45" i="5"/>
  <c r="K45" i="5" s="1"/>
  <c r="F45" i="5"/>
  <c r="E45" i="5"/>
  <c r="D45" i="5"/>
  <c r="B45" i="5"/>
  <c r="J45" i="5" s="1"/>
  <c r="L44" i="5"/>
  <c r="K44" i="5"/>
  <c r="J44" i="5"/>
  <c r="I44" i="5"/>
  <c r="N44" i="5" s="1"/>
  <c r="G44" i="5"/>
  <c r="F44" i="5"/>
  <c r="E44" i="5"/>
  <c r="D44" i="5"/>
  <c r="B44" i="5"/>
  <c r="L43" i="5"/>
  <c r="G43" i="5"/>
  <c r="K43" i="5" s="1"/>
  <c r="F43" i="5"/>
  <c r="E43" i="5"/>
  <c r="D43" i="5"/>
  <c r="B43" i="5"/>
  <c r="J43" i="5" s="1"/>
  <c r="L42" i="5"/>
  <c r="K42" i="5"/>
  <c r="J42" i="5"/>
  <c r="I42" i="5"/>
  <c r="N42" i="5" s="1"/>
  <c r="G42" i="5"/>
  <c r="F42" i="5"/>
  <c r="E42" i="5"/>
  <c r="D42" i="5"/>
  <c r="B42" i="5"/>
  <c r="L41" i="5"/>
  <c r="G41" i="5"/>
  <c r="K41" i="5" s="1"/>
  <c r="F41" i="5"/>
  <c r="E41" i="5"/>
  <c r="D41" i="5"/>
  <c r="B41" i="5"/>
  <c r="J41" i="5" s="1"/>
  <c r="L40" i="5"/>
  <c r="K40" i="5"/>
  <c r="J40" i="5"/>
  <c r="I40" i="5"/>
  <c r="N40" i="5" s="1"/>
  <c r="G40" i="5"/>
  <c r="F40" i="5"/>
  <c r="E40" i="5"/>
  <c r="D40" i="5"/>
  <c r="B40" i="5"/>
  <c r="L39" i="5"/>
  <c r="G39" i="5"/>
  <c r="K39" i="5" s="1"/>
  <c r="F39" i="5"/>
  <c r="E39" i="5"/>
  <c r="D39" i="5"/>
  <c r="B39" i="5"/>
  <c r="J39" i="5" s="1"/>
  <c r="L38" i="5"/>
  <c r="K38" i="5"/>
  <c r="J38" i="5"/>
  <c r="I38" i="5"/>
  <c r="N38" i="5" s="1"/>
  <c r="G38" i="5"/>
  <c r="F38" i="5"/>
  <c r="E38" i="5"/>
  <c r="D38" i="5"/>
  <c r="B38" i="5"/>
  <c r="L37" i="5"/>
  <c r="G37" i="5"/>
  <c r="K37" i="5" s="1"/>
  <c r="F37" i="5"/>
  <c r="E37" i="5"/>
  <c r="D37" i="5"/>
  <c r="B37" i="5"/>
  <c r="J37" i="5" s="1"/>
  <c r="L36" i="5"/>
  <c r="K36" i="5"/>
  <c r="J36" i="5"/>
  <c r="I36" i="5"/>
  <c r="N36" i="5" s="1"/>
  <c r="G36" i="5"/>
  <c r="F36" i="5"/>
  <c r="E36" i="5"/>
  <c r="D36" i="5"/>
  <c r="B36" i="5"/>
  <c r="L35" i="5"/>
  <c r="G35" i="5"/>
  <c r="K35" i="5" s="1"/>
  <c r="F35" i="5"/>
  <c r="E35" i="5"/>
  <c r="D35" i="5"/>
  <c r="B35" i="5"/>
  <c r="J35" i="5" s="1"/>
  <c r="L34" i="5"/>
  <c r="K34" i="5"/>
  <c r="J34" i="5"/>
  <c r="I34" i="5"/>
  <c r="N34" i="5" s="1"/>
  <c r="G34" i="5"/>
  <c r="F34" i="5"/>
  <c r="E34" i="5"/>
  <c r="D34" i="5"/>
  <c r="B34" i="5"/>
  <c r="L33" i="5"/>
  <c r="J33" i="5"/>
  <c r="G33" i="5"/>
  <c r="K33" i="5" s="1"/>
  <c r="F33" i="5"/>
  <c r="E33" i="5"/>
  <c r="D33" i="5"/>
  <c r="B33" i="5"/>
  <c r="L32" i="5"/>
  <c r="K32" i="5"/>
  <c r="J32" i="5"/>
  <c r="I32" i="5"/>
  <c r="N32" i="5" s="1"/>
  <c r="G32" i="5"/>
  <c r="F32" i="5"/>
  <c r="E32" i="5"/>
  <c r="D32" i="5"/>
  <c r="B32" i="5"/>
  <c r="L31" i="5"/>
  <c r="G31" i="5"/>
  <c r="K31" i="5" s="1"/>
  <c r="F31" i="5"/>
  <c r="E31" i="5"/>
  <c r="D31" i="5"/>
  <c r="B31" i="5"/>
  <c r="J31" i="5" s="1"/>
  <c r="L30" i="5"/>
  <c r="K30" i="5"/>
  <c r="J30" i="5"/>
  <c r="I30" i="5"/>
  <c r="N30" i="5" s="1"/>
  <c r="G30" i="5"/>
  <c r="F30" i="5"/>
  <c r="E30" i="5"/>
  <c r="D30" i="5"/>
  <c r="B30" i="5"/>
  <c r="L29" i="5"/>
  <c r="J29" i="5"/>
  <c r="G29" i="5"/>
  <c r="K29" i="5" s="1"/>
  <c r="F29" i="5"/>
  <c r="E29" i="5"/>
  <c r="D29" i="5"/>
  <c r="B29" i="5"/>
  <c r="L28" i="5"/>
  <c r="K28" i="5"/>
  <c r="J28" i="5"/>
  <c r="I28" i="5"/>
  <c r="N28" i="5" s="1"/>
  <c r="G28" i="5"/>
  <c r="F28" i="5"/>
  <c r="E28" i="5"/>
  <c r="D28" i="5"/>
  <c r="B28" i="5"/>
  <c r="L27" i="5"/>
  <c r="G27" i="5"/>
  <c r="K27" i="5" s="1"/>
  <c r="F27" i="5"/>
  <c r="E27" i="5"/>
  <c r="D27" i="5"/>
  <c r="B27" i="5"/>
  <c r="J27" i="5" s="1"/>
  <c r="L26" i="5"/>
  <c r="K26" i="5"/>
  <c r="J26" i="5"/>
  <c r="I26" i="5"/>
  <c r="N26" i="5" s="1"/>
  <c r="G26" i="5"/>
  <c r="F26" i="5"/>
  <c r="E26" i="5"/>
  <c r="D26" i="5"/>
  <c r="B26" i="5"/>
  <c r="L25" i="5"/>
  <c r="G25" i="5"/>
  <c r="K25" i="5" s="1"/>
  <c r="F25" i="5"/>
  <c r="E25" i="5"/>
  <c r="D25" i="5"/>
  <c r="B25" i="5"/>
  <c r="J25" i="5" s="1"/>
  <c r="L24" i="5"/>
  <c r="K24" i="5"/>
  <c r="J24" i="5"/>
  <c r="I24" i="5"/>
  <c r="N24" i="5" s="1"/>
  <c r="G24" i="5"/>
  <c r="F24" i="5"/>
  <c r="E24" i="5"/>
  <c r="D24" i="5"/>
  <c r="B24" i="5"/>
  <c r="L23" i="5"/>
  <c r="G23" i="5"/>
  <c r="K23" i="5" s="1"/>
  <c r="F23" i="5"/>
  <c r="E23" i="5"/>
  <c r="D23" i="5"/>
  <c r="B23" i="5"/>
  <c r="J23" i="5" s="1"/>
  <c r="L22" i="5"/>
  <c r="K22" i="5"/>
  <c r="J22" i="5"/>
  <c r="I22" i="5"/>
  <c r="N22" i="5" s="1"/>
  <c r="G22" i="5"/>
  <c r="F22" i="5"/>
  <c r="E22" i="5"/>
  <c r="D22" i="5"/>
  <c r="B22" i="5"/>
  <c r="L21" i="5"/>
  <c r="G21" i="5"/>
  <c r="K21" i="5" s="1"/>
  <c r="F21" i="5"/>
  <c r="E21" i="5"/>
  <c r="D21" i="5"/>
  <c r="B21" i="5"/>
  <c r="J21" i="5" s="1"/>
  <c r="L20" i="5"/>
  <c r="K20" i="5"/>
  <c r="J20" i="5"/>
  <c r="I20" i="5"/>
  <c r="N20" i="5" s="1"/>
  <c r="G20" i="5"/>
  <c r="F20" i="5"/>
  <c r="E20" i="5"/>
  <c r="D20" i="5"/>
  <c r="B20" i="5"/>
  <c r="L19" i="5"/>
  <c r="G19" i="5"/>
  <c r="K19" i="5" s="1"/>
  <c r="F19" i="5"/>
  <c r="E19" i="5"/>
  <c r="D19" i="5"/>
  <c r="B19" i="5"/>
  <c r="J19" i="5" s="1"/>
  <c r="L18" i="5"/>
  <c r="K18" i="5"/>
  <c r="J18" i="5"/>
  <c r="I18" i="5"/>
  <c r="N18" i="5" s="1"/>
  <c r="G18" i="5"/>
  <c r="F18" i="5"/>
  <c r="E18" i="5"/>
  <c r="D18" i="5"/>
  <c r="B18" i="5"/>
  <c r="L17" i="5"/>
  <c r="G17" i="5"/>
  <c r="K17" i="5" s="1"/>
  <c r="F17" i="5"/>
  <c r="E17" i="5"/>
  <c r="D17" i="5"/>
  <c r="B17" i="5"/>
  <c r="J17" i="5" s="1"/>
  <c r="Z16" i="5"/>
  <c r="T16" i="5"/>
  <c r="S16" i="5"/>
  <c r="R16" i="5"/>
  <c r="Y16" i="5" s="1"/>
  <c r="U16" i="5" s="1"/>
  <c r="V16" i="5" s="1"/>
  <c r="L16" i="5"/>
  <c r="K16" i="5"/>
  <c r="J16" i="5"/>
  <c r="I16" i="5"/>
  <c r="N16" i="5" s="1"/>
  <c r="G16" i="5"/>
  <c r="F16" i="5"/>
  <c r="E16" i="5"/>
  <c r="D16" i="5"/>
  <c r="B16" i="5"/>
  <c r="Z15" i="5"/>
  <c r="T15" i="5"/>
  <c r="S15" i="5"/>
  <c r="R15" i="5"/>
  <c r="L15" i="5"/>
  <c r="G15" i="5"/>
  <c r="K15" i="5" s="1"/>
  <c r="F15" i="5"/>
  <c r="E15" i="5"/>
  <c r="D15" i="5"/>
  <c r="B15" i="5"/>
  <c r="J15" i="5" s="1"/>
  <c r="Z14" i="5"/>
  <c r="U14" i="5"/>
  <c r="V14" i="5" s="1"/>
  <c r="T14" i="5"/>
  <c r="S14" i="5"/>
  <c r="R14" i="5"/>
  <c r="Y14" i="5" s="1"/>
  <c r="L14" i="5"/>
  <c r="J14" i="5"/>
  <c r="I14" i="5"/>
  <c r="N14" i="5" s="1"/>
  <c r="G14" i="5"/>
  <c r="F14" i="5"/>
  <c r="E14" i="5"/>
  <c r="D14" i="5"/>
  <c r="B14" i="5"/>
  <c r="K14" i="5" s="1"/>
  <c r="Z13" i="5"/>
  <c r="T13" i="5"/>
  <c r="S13" i="5"/>
  <c r="R13" i="5"/>
  <c r="L13" i="5"/>
  <c r="J13" i="5"/>
  <c r="G13" i="5"/>
  <c r="K13" i="5" s="1"/>
  <c r="F13" i="5"/>
  <c r="E13" i="5"/>
  <c r="D13" i="5"/>
  <c r="B13" i="5"/>
  <c r="Z12" i="5"/>
  <c r="T12" i="5"/>
  <c r="S12" i="5"/>
  <c r="R12" i="5"/>
  <c r="Y12" i="5" s="1"/>
  <c r="U12" i="5" s="1"/>
  <c r="V12" i="5" s="1"/>
  <c r="L12" i="5"/>
  <c r="K12" i="5"/>
  <c r="J12" i="5"/>
  <c r="I12" i="5"/>
  <c r="N12" i="5" s="1"/>
  <c r="G12" i="5"/>
  <c r="F12" i="5"/>
  <c r="E12" i="5"/>
  <c r="D12" i="5"/>
  <c r="B12" i="5"/>
  <c r="Z11" i="5"/>
  <c r="T11" i="5"/>
  <c r="S11" i="5"/>
  <c r="R11" i="5"/>
  <c r="L11" i="5"/>
  <c r="G11" i="5"/>
  <c r="K11" i="5" s="1"/>
  <c r="F11" i="5"/>
  <c r="E11" i="5"/>
  <c r="D11" i="5"/>
  <c r="B11" i="5"/>
  <c r="Z10" i="5"/>
  <c r="T10" i="5"/>
  <c r="S10" i="5"/>
  <c r="R10" i="5"/>
  <c r="Y10" i="5" s="1"/>
  <c r="U10" i="5" s="1"/>
  <c r="V10" i="5" s="1"/>
  <c r="L10" i="5"/>
  <c r="K10" i="5"/>
  <c r="J10" i="5"/>
  <c r="G10" i="5"/>
  <c r="F10" i="5"/>
  <c r="E10" i="5"/>
  <c r="D10" i="5"/>
  <c r="B10" i="5"/>
  <c r="I10" i="5" s="1"/>
  <c r="N10" i="5" s="1"/>
  <c r="Z9" i="5"/>
  <c r="T9" i="5"/>
  <c r="S9" i="5"/>
  <c r="R9" i="5"/>
  <c r="L9" i="5"/>
  <c r="G9" i="5"/>
  <c r="K9" i="5" s="1"/>
  <c r="F9" i="5"/>
  <c r="E9" i="5"/>
  <c r="D9" i="5"/>
  <c r="B9" i="5"/>
  <c r="Z8" i="5"/>
  <c r="T8" i="5"/>
  <c r="S8" i="5"/>
  <c r="R8" i="5"/>
  <c r="Y8" i="5" s="1"/>
  <c r="U8" i="5" s="1"/>
  <c r="V8" i="5" s="1"/>
  <c r="L8" i="5"/>
  <c r="K8" i="5"/>
  <c r="J8" i="5"/>
  <c r="I8" i="5"/>
  <c r="G8" i="5"/>
  <c r="F8" i="5"/>
  <c r="E8" i="5"/>
  <c r="D8" i="5"/>
  <c r="B8" i="5"/>
  <c r="Z7" i="5"/>
  <c r="T7" i="5"/>
  <c r="S7" i="5"/>
  <c r="R7" i="5"/>
  <c r="L7" i="5"/>
  <c r="G7" i="5"/>
  <c r="K7" i="5" s="1"/>
  <c r="F7" i="5"/>
  <c r="E7" i="5"/>
  <c r="D7" i="5"/>
  <c r="B7" i="5"/>
  <c r="Z6" i="5"/>
  <c r="U6" i="5"/>
  <c r="V6" i="5" s="1"/>
  <c r="T6" i="5"/>
  <c r="S6" i="5"/>
  <c r="R6" i="5"/>
  <c r="Y6" i="5" s="1"/>
  <c r="L6" i="5"/>
  <c r="K6" i="5"/>
  <c r="J6" i="5"/>
  <c r="I6" i="5"/>
  <c r="N6" i="5" s="1"/>
  <c r="G6" i="5"/>
  <c r="F6" i="5"/>
  <c r="E6" i="5"/>
  <c r="D6" i="5"/>
  <c r="B6" i="5"/>
  <c r="Z5" i="5"/>
  <c r="T5" i="5"/>
  <c r="S5" i="5"/>
  <c r="R5" i="5"/>
  <c r="G5" i="5"/>
  <c r="K5" i="5" s="1"/>
  <c r="F5" i="5"/>
  <c r="E5" i="5"/>
  <c r="D5" i="5"/>
  <c r="B5" i="5"/>
  <c r="Z4" i="5"/>
  <c r="X4" i="5"/>
  <c r="T4" i="5"/>
  <c r="T3" i="5" s="1"/>
  <c r="S4" i="5"/>
  <c r="R4" i="5"/>
  <c r="K4" i="5"/>
  <c r="J4" i="5"/>
  <c r="I4" i="5"/>
  <c r="G4" i="5"/>
  <c r="L4" i="5" s="1"/>
  <c r="F4" i="5"/>
  <c r="E4" i="5"/>
  <c r="D4" i="5"/>
  <c r="B4" i="5"/>
  <c r="S3" i="5"/>
  <c r="L3" i="5"/>
  <c r="J3" i="5"/>
  <c r="I3" i="5"/>
  <c r="G3" i="5"/>
  <c r="F3" i="5"/>
  <c r="E3" i="5"/>
  <c r="D3" i="5"/>
  <c r="B3" i="5"/>
  <c r="K3" i="5" s="1"/>
  <c r="G2" i="5"/>
  <c r="F2" i="5"/>
  <c r="E2" i="5"/>
  <c r="D2" i="5"/>
  <c r="B2" i="5"/>
  <c r="U17" i="4"/>
  <c r="M17" i="4"/>
  <c r="U16" i="4"/>
  <c r="M16" i="4"/>
  <c r="U15" i="4"/>
  <c r="O15" i="4"/>
  <c r="Q15" i="4" s="1"/>
  <c r="R15" i="4" s="1"/>
  <c r="M15" i="4"/>
  <c r="U14" i="4"/>
  <c r="M14" i="4"/>
  <c r="U13" i="4"/>
  <c r="M13" i="4"/>
  <c r="U12" i="4"/>
  <c r="M12" i="4"/>
  <c r="U11" i="4"/>
  <c r="M11" i="4"/>
  <c r="U10" i="4"/>
  <c r="U9" i="4"/>
  <c r="M9" i="4"/>
  <c r="U8" i="4"/>
  <c r="U7" i="4"/>
  <c r="M7" i="4"/>
  <c r="U6" i="4"/>
  <c r="M6" i="4"/>
  <c r="U5" i="4"/>
  <c r="J117" i="2"/>
  <c r="I117" i="2"/>
  <c r="H117" i="2"/>
  <c r="J116" i="2"/>
  <c r="I116" i="2"/>
  <c r="H116" i="2"/>
  <c r="J115" i="2"/>
  <c r="I115" i="2"/>
  <c r="H115" i="2"/>
  <c r="J114" i="2"/>
  <c r="I114" i="2"/>
  <c r="BP211" i="1" s="1"/>
  <c r="H114" i="2"/>
  <c r="J113" i="2"/>
  <c r="I113" i="2"/>
  <c r="H113" i="2"/>
  <c r="J112" i="2"/>
  <c r="I112" i="2"/>
  <c r="H112" i="2"/>
  <c r="J111" i="2"/>
  <c r="CA207" i="1" s="1"/>
  <c r="I111" i="2"/>
  <c r="H111" i="2"/>
  <c r="J110" i="2"/>
  <c r="I110" i="2"/>
  <c r="H110" i="2"/>
  <c r="J109" i="2"/>
  <c r="I109" i="2"/>
  <c r="H109" i="2"/>
  <c r="J108" i="2"/>
  <c r="I108" i="2"/>
  <c r="H108" i="2"/>
  <c r="J107" i="2"/>
  <c r="I107" i="2"/>
  <c r="H107" i="2"/>
  <c r="J106" i="2"/>
  <c r="I106" i="2"/>
  <c r="H106" i="2"/>
  <c r="J105" i="2"/>
  <c r="I105" i="2"/>
  <c r="H105" i="2"/>
  <c r="J104" i="2"/>
  <c r="I104" i="2"/>
  <c r="H104" i="2"/>
  <c r="J103" i="2"/>
  <c r="I103" i="2"/>
  <c r="H103" i="2"/>
  <c r="J102" i="2"/>
  <c r="I102" i="2"/>
  <c r="H102" i="2"/>
  <c r="J101" i="2"/>
  <c r="I101" i="2"/>
  <c r="H101" i="2"/>
  <c r="J100" i="2"/>
  <c r="I100" i="2"/>
  <c r="H100" i="2"/>
  <c r="J99" i="2"/>
  <c r="I99" i="2"/>
  <c r="H99" i="2"/>
  <c r="J98" i="2"/>
  <c r="I98" i="2"/>
  <c r="H98" i="2"/>
  <c r="J97" i="2"/>
  <c r="I97" i="2"/>
  <c r="H97" i="2"/>
  <c r="J96" i="2"/>
  <c r="I96" i="2"/>
  <c r="H96" i="2"/>
  <c r="J95" i="2"/>
  <c r="I95" i="2"/>
  <c r="H95" i="2"/>
  <c r="J94" i="2"/>
  <c r="I94" i="2"/>
  <c r="H94" i="2"/>
  <c r="J93" i="2"/>
  <c r="I93" i="2"/>
  <c r="H93" i="2"/>
  <c r="J92" i="2"/>
  <c r="I92" i="2"/>
  <c r="H92" i="2"/>
  <c r="J91" i="2"/>
  <c r="I91" i="2"/>
  <c r="H91" i="2"/>
  <c r="J90" i="2"/>
  <c r="I90" i="2"/>
  <c r="H90" i="2"/>
  <c r="J89" i="2"/>
  <c r="I89" i="2"/>
  <c r="H89" i="2"/>
  <c r="J88" i="2"/>
  <c r="I88" i="2"/>
  <c r="H88" i="2"/>
  <c r="J87" i="2"/>
  <c r="I87" i="2"/>
  <c r="H87" i="2"/>
  <c r="J86" i="2"/>
  <c r="I86" i="2"/>
  <c r="H86" i="2"/>
  <c r="J85" i="2"/>
  <c r="I85" i="2"/>
  <c r="H85" i="2"/>
  <c r="J84" i="2"/>
  <c r="I84" i="2"/>
  <c r="H84" i="2"/>
  <c r="J83" i="2"/>
  <c r="I83" i="2"/>
  <c r="H83" i="2"/>
  <c r="J82" i="2"/>
  <c r="I82" i="2"/>
  <c r="BP222" i="1" s="1"/>
  <c r="H82" i="2"/>
  <c r="J81" i="2"/>
  <c r="I81" i="2"/>
  <c r="H81" i="2"/>
  <c r="J80" i="2"/>
  <c r="I80" i="2"/>
  <c r="H80" i="2"/>
  <c r="J79" i="2"/>
  <c r="I79" i="2"/>
  <c r="H79" i="2"/>
  <c r="J78" i="2"/>
  <c r="I78" i="2"/>
  <c r="H78" i="2"/>
  <c r="J77" i="2"/>
  <c r="I77" i="2"/>
  <c r="H77" i="2"/>
  <c r="J76" i="2"/>
  <c r="I76" i="2"/>
  <c r="H76" i="2"/>
  <c r="J75" i="2"/>
  <c r="I75" i="2"/>
  <c r="H75" i="2"/>
  <c r="J74" i="2"/>
  <c r="I74" i="2"/>
  <c r="H74" i="2"/>
  <c r="J73" i="2"/>
  <c r="I73" i="2"/>
  <c r="H73" i="2"/>
  <c r="J72" i="2"/>
  <c r="I72" i="2"/>
  <c r="H72" i="2"/>
  <c r="J71" i="2"/>
  <c r="I71" i="2"/>
  <c r="H71" i="2"/>
  <c r="J70" i="2"/>
  <c r="I70" i="2"/>
  <c r="H70" i="2"/>
  <c r="J69" i="2"/>
  <c r="I69" i="2"/>
  <c r="H69" i="2"/>
  <c r="J68" i="2"/>
  <c r="I68" i="2"/>
  <c r="H68" i="2"/>
  <c r="J67" i="2"/>
  <c r="I67" i="2"/>
  <c r="H67" i="2"/>
  <c r="J66" i="2"/>
  <c r="I66" i="2"/>
  <c r="H66" i="2"/>
  <c r="J65" i="2"/>
  <c r="I65" i="2"/>
  <c r="H65" i="2"/>
  <c r="J64" i="2"/>
  <c r="I64" i="2"/>
  <c r="H64" i="2"/>
  <c r="J63" i="2"/>
  <c r="I63" i="2"/>
  <c r="H63" i="2"/>
  <c r="J62" i="2"/>
  <c r="I62" i="2"/>
  <c r="H62" i="2"/>
  <c r="J61" i="2"/>
  <c r="I61" i="2"/>
  <c r="H61" i="2"/>
  <c r="J60" i="2"/>
  <c r="I60" i="2"/>
  <c r="H60" i="2"/>
  <c r="J59" i="2"/>
  <c r="I59" i="2"/>
  <c r="H59" i="2"/>
  <c r="J58" i="2"/>
  <c r="I58" i="2"/>
  <c r="H58" i="2"/>
  <c r="J57" i="2"/>
  <c r="I57" i="2"/>
  <c r="H57" i="2"/>
  <c r="J56" i="2"/>
  <c r="I56" i="2"/>
  <c r="H56" i="2"/>
  <c r="J55" i="2"/>
  <c r="I55" i="2"/>
  <c r="H55" i="2"/>
  <c r="J54" i="2"/>
  <c r="I54" i="2"/>
  <c r="H54" i="2"/>
  <c r="J53" i="2"/>
  <c r="I53" i="2"/>
  <c r="H53" i="2"/>
  <c r="J52" i="2"/>
  <c r="I52" i="2"/>
  <c r="H52" i="2"/>
  <c r="J51" i="2"/>
  <c r="I51" i="2"/>
  <c r="H51" i="2"/>
  <c r="J50" i="2"/>
  <c r="I50" i="2"/>
  <c r="H50" i="2"/>
  <c r="J49" i="2"/>
  <c r="I49" i="2"/>
  <c r="H49" i="2"/>
  <c r="J48" i="2"/>
  <c r="I48" i="2"/>
  <c r="H48" i="2"/>
  <c r="J47" i="2"/>
  <c r="I47" i="2"/>
  <c r="H47" i="2"/>
  <c r="J46" i="2"/>
  <c r="I46" i="2"/>
  <c r="H46" i="2"/>
  <c r="J45" i="2"/>
  <c r="I45" i="2"/>
  <c r="H45" i="2"/>
  <c r="J44" i="2"/>
  <c r="I44" i="2"/>
  <c r="H44" i="2"/>
  <c r="J43" i="2"/>
  <c r="I43" i="2"/>
  <c r="H43" i="2"/>
  <c r="J42" i="2"/>
  <c r="I42" i="2"/>
  <c r="H42" i="2"/>
  <c r="J41" i="2"/>
  <c r="I41" i="2"/>
  <c r="H41" i="2"/>
  <c r="J40" i="2"/>
  <c r="I40" i="2"/>
  <c r="H40" i="2"/>
  <c r="J39" i="2"/>
  <c r="I39" i="2"/>
  <c r="H39" i="2"/>
  <c r="J38" i="2"/>
  <c r="I38" i="2"/>
  <c r="H38" i="2"/>
  <c r="J37" i="2"/>
  <c r="I37" i="2"/>
  <c r="H37" i="2"/>
  <c r="J36" i="2"/>
  <c r="I36" i="2"/>
  <c r="H36" i="2"/>
  <c r="J35" i="2"/>
  <c r="I35" i="2"/>
  <c r="H35" i="2"/>
  <c r="J34" i="2"/>
  <c r="I34" i="2"/>
  <c r="H34" i="2"/>
  <c r="J33" i="2"/>
  <c r="I33" i="2"/>
  <c r="H33" i="2"/>
  <c r="J32" i="2"/>
  <c r="I32" i="2"/>
  <c r="H32" i="2"/>
  <c r="J31" i="2"/>
  <c r="I31" i="2"/>
  <c r="H31" i="2"/>
  <c r="J30" i="2"/>
  <c r="I30" i="2"/>
  <c r="H30" i="2"/>
  <c r="J29" i="2"/>
  <c r="I29" i="2"/>
  <c r="H29" i="2"/>
  <c r="J28" i="2"/>
  <c r="I28" i="2"/>
  <c r="H28" i="2"/>
  <c r="J27" i="2"/>
  <c r="I27" i="2"/>
  <c r="H27" i="2"/>
  <c r="J26" i="2"/>
  <c r="I26" i="2"/>
  <c r="H26" i="2"/>
  <c r="J25" i="2"/>
  <c r="I25" i="2"/>
  <c r="H25" i="2"/>
  <c r="J24" i="2"/>
  <c r="I24" i="2"/>
  <c r="H24" i="2"/>
  <c r="J23" i="2"/>
  <c r="I23" i="2"/>
  <c r="H23" i="2"/>
  <c r="J22" i="2"/>
  <c r="I22" i="2"/>
  <c r="H22" i="2"/>
  <c r="J21" i="2"/>
  <c r="I21" i="2"/>
  <c r="H21" i="2"/>
  <c r="J20" i="2"/>
  <c r="I20" i="2"/>
  <c r="H20" i="2"/>
  <c r="J19" i="2"/>
  <c r="I19" i="2"/>
  <c r="H19" i="2"/>
  <c r="J18" i="2"/>
  <c r="I18" i="2"/>
  <c r="H18" i="2"/>
  <c r="J17" i="2"/>
  <c r="I17" i="2"/>
  <c r="H17" i="2"/>
  <c r="J16" i="2"/>
  <c r="I16" i="2"/>
  <c r="H16" i="2"/>
  <c r="J15" i="2"/>
  <c r="I15" i="2"/>
  <c r="H15" i="2"/>
  <c r="J14" i="2"/>
  <c r="I14" i="2"/>
  <c r="H14" i="2"/>
  <c r="J13" i="2"/>
  <c r="I13" i="2"/>
  <c r="H13" i="2"/>
  <c r="J12" i="2"/>
  <c r="I12" i="2"/>
  <c r="H12" i="2"/>
  <c r="J11" i="2"/>
  <c r="I11" i="2"/>
  <c r="H11" i="2"/>
  <c r="J10" i="2"/>
  <c r="I10" i="2"/>
  <c r="H10" i="2"/>
  <c r="J9" i="2"/>
  <c r="I9" i="2"/>
  <c r="H9" i="2"/>
  <c r="J8" i="2"/>
  <c r="I8" i="2"/>
  <c r="H8" i="2"/>
  <c r="J7" i="2"/>
  <c r="I7" i="2"/>
  <c r="H7" i="2"/>
  <c r="J6" i="2"/>
  <c r="I6" i="2"/>
  <c r="H6" i="2"/>
  <c r="J5" i="2"/>
  <c r="I5" i="2"/>
  <c r="J4" i="2"/>
  <c r="I4" i="2"/>
  <c r="J3" i="2"/>
  <c r="I3" i="2"/>
  <c r="J2" i="2"/>
  <c r="I2" i="2"/>
  <c r="DD225" i="1"/>
  <c r="CZ225" i="1" s="1"/>
  <c r="DC225" i="1"/>
  <c r="DB225" i="1"/>
  <c r="DA225" i="1"/>
  <c r="CY225" i="1"/>
  <c r="CV225" i="1"/>
  <c r="H218" i="5" s="1"/>
  <c r="CD225" i="1"/>
  <c r="CA225" i="1"/>
  <c r="CB225" i="1" s="1"/>
  <c r="T15" i="4" s="1"/>
  <c r="V15" i="4" s="1"/>
  <c r="W15" i="4" s="1"/>
  <c r="BY225" i="1"/>
  <c r="BT225" i="1"/>
  <c r="BW225" i="1" s="1"/>
  <c r="P15" i="4" s="1"/>
  <c r="BS225" i="1"/>
  <c r="BV225" i="1" s="1"/>
  <c r="BQ225" i="1"/>
  <c r="BP225" i="1"/>
  <c r="BL225" i="1"/>
  <c r="BK225" i="1"/>
  <c r="BJ225" i="1"/>
  <c r="BI225" i="1"/>
  <c r="BH225" i="1"/>
  <c r="BG225" i="1"/>
  <c r="BF225" i="1"/>
  <c r="BE225" i="1"/>
  <c r="AL225" i="1"/>
  <c r="AE225" i="1"/>
  <c r="AF225" i="1" s="1"/>
  <c r="G15" i="4" s="1"/>
  <c r="AC225" i="1"/>
  <c r="U225" i="1"/>
  <c r="R225" i="1"/>
  <c r="Q225" i="1"/>
  <c r="W225" i="1" s="1"/>
  <c r="X225" i="1" s="1"/>
  <c r="P225" i="1"/>
  <c r="L225" i="1"/>
  <c r="C218" i="5" s="1"/>
  <c r="D225" i="1"/>
  <c r="B225" i="1" s="1"/>
  <c r="C225" i="1"/>
  <c r="A225" i="1"/>
  <c r="DD224" i="1"/>
  <c r="CZ224" i="1" s="1"/>
  <c r="DC224" i="1"/>
  <c r="DB224" i="1"/>
  <c r="DA224" i="1"/>
  <c r="CY224" i="1"/>
  <c r="CV224" i="1"/>
  <c r="H217" i="5" s="1"/>
  <c r="CD224" i="1"/>
  <c r="CA224" i="1"/>
  <c r="CB224" i="1" s="1"/>
  <c r="BY224" i="1"/>
  <c r="BS224" i="1"/>
  <c r="BV224" i="1" s="1"/>
  <c r="BQ224" i="1"/>
  <c r="BP224" i="1"/>
  <c r="BL224" i="1"/>
  <c r="BK224" i="1"/>
  <c r="BJ224" i="1"/>
  <c r="BI224" i="1"/>
  <c r="BH224" i="1"/>
  <c r="BG224" i="1"/>
  <c r="BF224" i="1"/>
  <c r="BE224" i="1"/>
  <c r="AN224" i="1"/>
  <c r="AL224" i="1"/>
  <c r="AJ224" i="1" s="1"/>
  <c r="AE224" i="1"/>
  <c r="AF224" i="1" s="1"/>
  <c r="AC224" i="1"/>
  <c r="Y224" i="1"/>
  <c r="AA224" i="1" s="1"/>
  <c r="U224" i="1"/>
  <c r="V224" i="1" s="1"/>
  <c r="R224" i="1"/>
  <c r="Q224" i="1"/>
  <c r="W224" i="1" s="1"/>
  <c r="X224" i="1" s="1"/>
  <c r="CX224" i="1" s="1"/>
  <c r="P224" i="1"/>
  <c r="L224" i="1"/>
  <c r="C217" i="5" s="1"/>
  <c r="D224" i="1"/>
  <c r="C224" i="1"/>
  <c r="A224" i="1"/>
  <c r="DD223" i="1"/>
  <c r="DB223" i="1" s="1"/>
  <c r="DC223" i="1"/>
  <c r="CZ223" i="1"/>
  <c r="CY223" i="1"/>
  <c r="CV223" i="1"/>
  <c r="H216" i="5" s="1"/>
  <c r="CD223" i="1"/>
  <c r="CA223" i="1"/>
  <c r="CB223" i="1" s="1"/>
  <c r="T17" i="4" s="1"/>
  <c r="V17" i="4" s="1"/>
  <c r="W17" i="4" s="1"/>
  <c r="BY223" i="1"/>
  <c r="BV223" i="1"/>
  <c r="BS223" i="1"/>
  <c r="BQ223" i="1"/>
  <c r="BP223" i="1"/>
  <c r="BL223" i="1"/>
  <c r="BK223" i="1"/>
  <c r="BJ223" i="1"/>
  <c r="BI223" i="1"/>
  <c r="BH223" i="1"/>
  <c r="BG223" i="1"/>
  <c r="BF223" i="1"/>
  <c r="BE223" i="1"/>
  <c r="AL223" i="1"/>
  <c r="AF223" i="1"/>
  <c r="AE223" i="1"/>
  <c r="AC223" i="1"/>
  <c r="X223" i="1"/>
  <c r="W223" i="1"/>
  <c r="U223" i="1"/>
  <c r="BT223" i="1" s="1"/>
  <c r="BW223" i="1" s="1"/>
  <c r="R223" i="1"/>
  <c r="Q223" i="1"/>
  <c r="V223" i="1" s="1"/>
  <c r="P223" i="1"/>
  <c r="L223" i="1"/>
  <c r="C216" i="5" s="1"/>
  <c r="D223" i="1"/>
  <c r="C223" i="1"/>
  <c r="B223" i="1" s="1"/>
  <c r="A223" i="1"/>
  <c r="DD222" i="1"/>
  <c r="DC222" i="1"/>
  <c r="DB222" i="1"/>
  <c r="DA222" i="1"/>
  <c r="CZ222" i="1"/>
  <c r="CY222" i="1"/>
  <c r="CV222" i="1"/>
  <c r="H215" i="5" s="1"/>
  <c r="CD222" i="1"/>
  <c r="CB222" i="1"/>
  <c r="CA222" i="1"/>
  <c r="BY222" i="1"/>
  <c r="BV222" i="1"/>
  <c r="BS222" i="1"/>
  <c r="BQ222" i="1"/>
  <c r="BL222" i="1"/>
  <c r="BK222" i="1"/>
  <c r="BJ222" i="1"/>
  <c r="BI222" i="1"/>
  <c r="BH222" i="1"/>
  <c r="BG222" i="1"/>
  <c r="BF222" i="1"/>
  <c r="BE222" i="1"/>
  <c r="AF222" i="1"/>
  <c r="AE222" i="1"/>
  <c r="AC222" i="1"/>
  <c r="W222" i="1"/>
  <c r="X222" i="1" s="1"/>
  <c r="V222" i="1"/>
  <c r="U222" i="1"/>
  <c r="R222" i="1"/>
  <c r="Q222" i="1"/>
  <c r="P222" i="1"/>
  <c r="L222" i="1"/>
  <c r="C215" i="5" s="1"/>
  <c r="D222" i="1"/>
  <c r="C222" i="1"/>
  <c r="B222" i="1"/>
  <c r="A222" i="1"/>
  <c r="DD221" i="1"/>
  <c r="DC221" i="1"/>
  <c r="DB221" i="1"/>
  <c r="DA221" i="1"/>
  <c r="CZ221" i="1"/>
  <c r="CY221" i="1"/>
  <c r="CV221" i="1"/>
  <c r="H214" i="5" s="1"/>
  <c r="CD221" i="1"/>
  <c r="CA221" i="1"/>
  <c r="CB221" i="1" s="1"/>
  <c r="BY221" i="1"/>
  <c r="BS221" i="1"/>
  <c r="BV221" i="1" s="1"/>
  <c r="BQ221" i="1"/>
  <c r="BP221" i="1"/>
  <c r="BL221" i="1"/>
  <c r="BK221" i="1"/>
  <c r="BJ221" i="1"/>
  <c r="BI221" i="1"/>
  <c r="BH221" i="1"/>
  <c r="BG221" i="1"/>
  <c r="BF221" i="1"/>
  <c r="BE221" i="1"/>
  <c r="AE221" i="1"/>
  <c r="AF221" i="1" s="1"/>
  <c r="AC221" i="1"/>
  <c r="V221" i="1"/>
  <c r="U221" i="1"/>
  <c r="R221" i="1"/>
  <c r="Q221" i="1"/>
  <c r="P221" i="1"/>
  <c r="L221" i="1"/>
  <c r="C214" i="5" s="1"/>
  <c r="D221" i="1"/>
  <c r="C221" i="1"/>
  <c r="B221" i="1"/>
  <c r="A221" i="1"/>
  <c r="DD220" i="1"/>
  <c r="DA220" i="1"/>
  <c r="CZ220" i="1"/>
  <c r="CY220" i="1"/>
  <c r="CV220" i="1"/>
  <c r="H213" i="5" s="1"/>
  <c r="CD220" i="1"/>
  <c r="CA220" i="1"/>
  <c r="BY220" i="1"/>
  <c r="BW220" i="1"/>
  <c r="BV220" i="1"/>
  <c r="BT220" i="1"/>
  <c r="BS220" i="1"/>
  <c r="BQ220" i="1"/>
  <c r="BP220" i="1"/>
  <c r="BL220" i="1"/>
  <c r="BK220" i="1"/>
  <c r="BJ220" i="1"/>
  <c r="BI220" i="1"/>
  <c r="BH220" i="1"/>
  <c r="BG220" i="1"/>
  <c r="BF220" i="1"/>
  <c r="BE220" i="1"/>
  <c r="AF220" i="1"/>
  <c r="AE220" i="1"/>
  <c r="AC220" i="1"/>
  <c r="U220" i="1"/>
  <c r="R220" i="1"/>
  <c r="Q220" i="1"/>
  <c r="P220" i="1"/>
  <c r="L220" i="1"/>
  <c r="C213" i="5" s="1"/>
  <c r="D220" i="1"/>
  <c r="C220" i="1"/>
  <c r="B220" i="1"/>
  <c r="A220" i="1"/>
  <c r="DD219" i="1"/>
  <c r="DB219" i="1" s="1"/>
  <c r="DC219" i="1"/>
  <c r="DA219" i="1"/>
  <c r="CZ219" i="1"/>
  <c r="CY219" i="1"/>
  <c r="CV219" i="1"/>
  <c r="H212" i="5" s="1"/>
  <c r="CD219" i="1"/>
  <c r="CB219" i="1"/>
  <c r="CA219" i="1"/>
  <c r="BY219" i="1"/>
  <c r="BS219" i="1"/>
  <c r="BV219" i="1" s="1"/>
  <c r="BQ219" i="1"/>
  <c r="BP219" i="1"/>
  <c r="BL219" i="1"/>
  <c r="BK219" i="1"/>
  <c r="BJ219" i="1"/>
  <c r="BI219" i="1"/>
  <c r="BH219" i="1"/>
  <c r="BG219" i="1"/>
  <c r="BF219" i="1"/>
  <c r="BE219" i="1"/>
  <c r="AF219" i="1"/>
  <c r="AE219" i="1"/>
  <c r="AC219" i="1"/>
  <c r="U219" i="1"/>
  <c r="R219" i="1"/>
  <c r="Q219" i="1"/>
  <c r="W219" i="1" s="1"/>
  <c r="X219" i="1" s="1"/>
  <c r="P219" i="1"/>
  <c r="L219" i="1"/>
  <c r="C212" i="5" s="1"/>
  <c r="D219" i="1"/>
  <c r="C219" i="1"/>
  <c r="B219" i="1" s="1"/>
  <c r="A219" i="1"/>
  <c r="DD218" i="1"/>
  <c r="DC218" i="1"/>
  <c r="CY218" i="1"/>
  <c r="CV218" i="1"/>
  <c r="H211" i="5" s="1"/>
  <c r="CD218" i="1"/>
  <c r="CB218" i="1"/>
  <c r="CA218" i="1"/>
  <c r="BY218" i="1"/>
  <c r="BV218" i="1"/>
  <c r="BS218" i="1"/>
  <c r="BQ218" i="1"/>
  <c r="BP218" i="1"/>
  <c r="BL218" i="1"/>
  <c r="BK218" i="1"/>
  <c r="BJ218" i="1"/>
  <c r="BI218" i="1"/>
  <c r="BH218" i="1"/>
  <c r="BG218" i="1"/>
  <c r="BF218" i="1"/>
  <c r="BE218" i="1"/>
  <c r="AF218" i="1"/>
  <c r="AE218" i="1"/>
  <c r="AC218" i="1"/>
  <c r="W218" i="1"/>
  <c r="X218" i="1" s="1"/>
  <c r="U218" i="1"/>
  <c r="AL218" i="1" s="1"/>
  <c r="R218" i="1"/>
  <c r="Q218" i="1"/>
  <c r="P218" i="1"/>
  <c r="L218" i="1"/>
  <c r="C211" i="5" s="1"/>
  <c r="D218" i="1"/>
  <c r="C218" i="1"/>
  <c r="B218" i="1" s="1"/>
  <c r="A218" i="1"/>
  <c r="DD217" i="1"/>
  <c r="DC217" i="1"/>
  <c r="DB217" i="1"/>
  <c r="DA217" i="1"/>
  <c r="CZ217" i="1"/>
  <c r="CY217" i="1"/>
  <c r="CV217" i="1"/>
  <c r="H210" i="5" s="1"/>
  <c r="CD217" i="1"/>
  <c r="CA217" i="1"/>
  <c r="BY217" i="1"/>
  <c r="BV217" i="1"/>
  <c r="BT217" i="1"/>
  <c r="BW217" i="1" s="1"/>
  <c r="BS217" i="1"/>
  <c r="BQ217" i="1"/>
  <c r="BP217" i="1"/>
  <c r="BL217" i="1"/>
  <c r="BK217" i="1"/>
  <c r="BJ217" i="1"/>
  <c r="BI217" i="1"/>
  <c r="BH217" i="1"/>
  <c r="BG217" i="1"/>
  <c r="BF217" i="1"/>
  <c r="BE217" i="1"/>
  <c r="AE217" i="1"/>
  <c r="AF217" i="1" s="1"/>
  <c r="AC217" i="1"/>
  <c r="U217" i="1"/>
  <c r="R217" i="1"/>
  <c r="Q217" i="1"/>
  <c r="P217" i="1"/>
  <c r="L217" i="1"/>
  <c r="C210" i="5" s="1"/>
  <c r="D217" i="1"/>
  <c r="C217" i="1"/>
  <c r="B217" i="1"/>
  <c r="A217" i="1"/>
  <c r="DD216" i="1"/>
  <c r="CY216" i="1"/>
  <c r="CV216" i="1"/>
  <c r="H209" i="5" s="1"/>
  <c r="CD216" i="1"/>
  <c r="CA216" i="1"/>
  <c r="BY216" i="1"/>
  <c r="BS216" i="1"/>
  <c r="BV216" i="1" s="1"/>
  <c r="BQ216" i="1"/>
  <c r="BP216" i="1"/>
  <c r="BL216" i="1"/>
  <c r="BK216" i="1"/>
  <c r="BJ216" i="1"/>
  <c r="BI216" i="1"/>
  <c r="BH216" i="1"/>
  <c r="BG216" i="1"/>
  <c r="BF216" i="1"/>
  <c r="BE216" i="1"/>
  <c r="AE216" i="1"/>
  <c r="AF216" i="1" s="1"/>
  <c r="AC216" i="1"/>
  <c r="U216" i="1"/>
  <c r="BT216" i="1" s="1"/>
  <c r="BW216" i="1" s="1"/>
  <c r="R216" i="1"/>
  <c r="Q216" i="1"/>
  <c r="P216" i="1"/>
  <c r="L216" i="1"/>
  <c r="C209" i="5" s="1"/>
  <c r="D216" i="1"/>
  <c r="C216" i="1"/>
  <c r="B216" i="1" s="1"/>
  <c r="A216" i="1"/>
  <c r="DD215" i="1"/>
  <c r="DC215" i="1" s="1"/>
  <c r="CY215" i="1"/>
  <c r="CV215" i="1"/>
  <c r="H208" i="5" s="1"/>
  <c r="CD215" i="1"/>
  <c r="CB215" i="1"/>
  <c r="CA215" i="1"/>
  <c r="BY215" i="1"/>
  <c r="BS215" i="1"/>
  <c r="BV215" i="1" s="1"/>
  <c r="BQ215" i="1"/>
  <c r="BP215" i="1"/>
  <c r="BL215" i="1"/>
  <c r="BK215" i="1"/>
  <c r="BJ215" i="1"/>
  <c r="BI215" i="1"/>
  <c r="BH215" i="1"/>
  <c r="BG215" i="1"/>
  <c r="BF215" i="1"/>
  <c r="BE215" i="1"/>
  <c r="AF215" i="1"/>
  <c r="AE215" i="1"/>
  <c r="AC215" i="1"/>
  <c r="U215" i="1"/>
  <c r="R215" i="1"/>
  <c r="Q215" i="1"/>
  <c r="P215" i="1"/>
  <c r="L215" i="1"/>
  <c r="C208" i="5" s="1"/>
  <c r="D215" i="1"/>
  <c r="C215" i="1"/>
  <c r="B215" i="1" s="1"/>
  <c r="A215" i="1"/>
  <c r="DD214" i="1"/>
  <c r="DC214" i="1" s="1"/>
  <c r="CY214" i="1"/>
  <c r="CV214" i="1"/>
  <c r="H207" i="5" s="1"/>
  <c r="CD214" i="1"/>
  <c r="CB214" i="1"/>
  <c r="CA214" i="1"/>
  <c r="BY214" i="1"/>
  <c r="BV214" i="1"/>
  <c r="BS214" i="1"/>
  <c r="BQ214" i="1"/>
  <c r="BP214" i="1"/>
  <c r="BL214" i="1"/>
  <c r="BK214" i="1"/>
  <c r="BJ214" i="1"/>
  <c r="BI214" i="1"/>
  <c r="BH214" i="1"/>
  <c r="BG214" i="1"/>
  <c r="BF214" i="1"/>
  <c r="BE214" i="1"/>
  <c r="AN214" i="1"/>
  <c r="AL214" i="1"/>
  <c r="AF214" i="1"/>
  <c r="AE214" i="1"/>
  <c r="AC214" i="1"/>
  <c r="U214" i="1"/>
  <c r="BT214" i="1" s="1"/>
  <c r="BW214" i="1" s="1"/>
  <c r="R214" i="1"/>
  <c r="Q214" i="1"/>
  <c r="P214" i="1"/>
  <c r="L214" i="1"/>
  <c r="C207" i="5" s="1"/>
  <c r="D214" i="1"/>
  <c r="C214" i="1"/>
  <c r="B214" i="1"/>
  <c r="A214" i="1"/>
  <c r="DD213" i="1"/>
  <c r="CZ213" i="1" s="1"/>
  <c r="DC213" i="1"/>
  <c r="DB213" i="1"/>
  <c r="DA213" i="1"/>
  <c r="CY213" i="1"/>
  <c r="CV213" i="1"/>
  <c r="H206" i="5" s="1"/>
  <c r="CD213" i="1"/>
  <c r="CB213" i="1"/>
  <c r="CA213" i="1"/>
  <c r="BY213" i="1"/>
  <c r="BV213" i="1"/>
  <c r="BS213" i="1"/>
  <c r="BQ213" i="1"/>
  <c r="BP213" i="1"/>
  <c r="BL213" i="1"/>
  <c r="BK213" i="1"/>
  <c r="BJ213" i="1"/>
  <c r="BI213" i="1"/>
  <c r="BH213" i="1"/>
  <c r="BG213" i="1"/>
  <c r="BF213" i="1"/>
  <c r="BE213" i="1"/>
  <c r="AE213" i="1"/>
  <c r="AF213" i="1" s="1"/>
  <c r="AC213" i="1"/>
  <c r="U213" i="1"/>
  <c r="R213" i="1"/>
  <c r="Q213" i="1"/>
  <c r="P213" i="1"/>
  <c r="L213" i="1"/>
  <c r="C206" i="5" s="1"/>
  <c r="D213" i="1"/>
  <c r="B213" i="1" s="1"/>
  <c r="C213" i="1"/>
  <c r="A213" i="1"/>
  <c r="DD212" i="1"/>
  <c r="DC212" i="1" s="1"/>
  <c r="DB212" i="1"/>
  <c r="DA212" i="1"/>
  <c r="CZ212" i="1"/>
  <c r="CY212" i="1"/>
  <c r="CV212" i="1"/>
  <c r="H205" i="5" s="1"/>
  <c r="CD212" i="1"/>
  <c r="CA212" i="1"/>
  <c r="CB212" i="1" s="1"/>
  <c r="BY212" i="1"/>
  <c r="BS212" i="1"/>
  <c r="BV212" i="1" s="1"/>
  <c r="BQ212" i="1"/>
  <c r="BP212" i="1"/>
  <c r="BL212" i="1"/>
  <c r="BK212" i="1"/>
  <c r="BJ212" i="1"/>
  <c r="BI212" i="1"/>
  <c r="BH212" i="1"/>
  <c r="BG212" i="1"/>
  <c r="BF212" i="1"/>
  <c r="BE212" i="1"/>
  <c r="AL212" i="1"/>
  <c r="AK212" i="1"/>
  <c r="AJ212" i="1"/>
  <c r="AY212" i="1" s="1"/>
  <c r="AZ212" i="1" s="1"/>
  <c r="AE212" i="1"/>
  <c r="AF212" i="1" s="1"/>
  <c r="AC212" i="1"/>
  <c r="W212" i="1"/>
  <c r="X212" i="1" s="1"/>
  <c r="U212" i="1"/>
  <c r="V212" i="1" s="1"/>
  <c r="R212" i="1"/>
  <c r="Q212" i="1"/>
  <c r="P212" i="1"/>
  <c r="L212" i="1"/>
  <c r="C205" i="5" s="1"/>
  <c r="D212" i="1"/>
  <c r="C212" i="1"/>
  <c r="A212" i="1"/>
  <c r="DD211" i="1"/>
  <c r="DA211" i="1"/>
  <c r="CZ211" i="1"/>
  <c r="CY211" i="1"/>
  <c r="CV211" i="1"/>
  <c r="H204" i="5" s="1"/>
  <c r="CD211" i="1"/>
  <c r="CB211" i="1"/>
  <c r="CA211" i="1"/>
  <c r="BY211" i="1"/>
  <c r="BW211" i="1"/>
  <c r="BS211" i="1"/>
  <c r="BV211" i="1" s="1"/>
  <c r="BQ211" i="1"/>
  <c r="BL211" i="1"/>
  <c r="BK211" i="1"/>
  <c r="BJ211" i="1"/>
  <c r="BI211" i="1"/>
  <c r="BH211" i="1"/>
  <c r="BG211" i="1"/>
  <c r="BF211" i="1"/>
  <c r="BE211" i="1"/>
  <c r="AQ211" i="1"/>
  <c r="AP211" i="1" s="1"/>
  <c r="AN211" i="1"/>
  <c r="AL211" i="1"/>
  <c r="AJ211" i="1"/>
  <c r="AF211" i="1"/>
  <c r="AE211" i="1"/>
  <c r="AC211" i="1"/>
  <c r="U211" i="1"/>
  <c r="BT211" i="1" s="1"/>
  <c r="R211" i="1"/>
  <c r="AO211" i="1" s="1"/>
  <c r="Q211" i="1"/>
  <c r="P211" i="1"/>
  <c r="L211" i="1"/>
  <c r="C204" i="5" s="1"/>
  <c r="D211" i="1"/>
  <c r="C211" i="1"/>
  <c r="B211" i="1"/>
  <c r="A211" i="1"/>
  <c r="DD210" i="1"/>
  <c r="DC210" i="1"/>
  <c r="CZ210" i="1"/>
  <c r="CY210" i="1"/>
  <c r="CV210" i="1"/>
  <c r="H203" i="5" s="1"/>
  <c r="CD210" i="1"/>
  <c r="CB210" i="1"/>
  <c r="CA210" i="1"/>
  <c r="BY210" i="1"/>
  <c r="BV210" i="1"/>
  <c r="BS210" i="1"/>
  <c r="BQ210" i="1"/>
  <c r="BP210" i="1"/>
  <c r="BL210" i="1"/>
  <c r="BK210" i="1"/>
  <c r="BJ210" i="1"/>
  <c r="BI210" i="1"/>
  <c r="BH210" i="1"/>
  <c r="BG210" i="1"/>
  <c r="BF210" i="1"/>
  <c r="BE210" i="1"/>
  <c r="AY210" i="1"/>
  <c r="AZ210" i="1" s="1"/>
  <c r="AN210" i="1"/>
  <c r="AO210" i="1" s="1"/>
  <c r="AL210" i="1"/>
  <c r="AJ210" i="1" s="1"/>
  <c r="AE210" i="1"/>
  <c r="AF210" i="1" s="1"/>
  <c r="AC210" i="1"/>
  <c r="U210" i="1"/>
  <c r="R210" i="1"/>
  <c r="Q210" i="1"/>
  <c r="W210" i="1" s="1"/>
  <c r="X210" i="1" s="1"/>
  <c r="P210" i="1"/>
  <c r="L210" i="1"/>
  <c r="C203" i="5" s="1"/>
  <c r="D210" i="1"/>
  <c r="C210" i="1"/>
  <c r="B210" i="1" s="1"/>
  <c r="A210" i="1"/>
  <c r="DD209" i="1"/>
  <c r="DC209" i="1"/>
  <c r="DB209" i="1"/>
  <c r="DA209" i="1"/>
  <c r="CZ209" i="1"/>
  <c r="CY209" i="1"/>
  <c r="CV209" i="1"/>
  <c r="H202" i="5" s="1"/>
  <c r="CD209" i="1"/>
  <c r="CB209" i="1"/>
  <c r="CA209" i="1"/>
  <c r="BY209" i="1"/>
  <c r="BV209" i="1"/>
  <c r="BT209" i="1"/>
  <c r="BW209" i="1" s="1"/>
  <c r="BS209" i="1"/>
  <c r="BQ209" i="1"/>
  <c r="BP209" i="1"/>
  <c r="BL209" i="1"/>
  <c r="BK209" i="1"/>
  <c r="BJ209" i="1"/>
  <c r="BI209" i="1"/>
  <c r="BH209" i="1"/>
  <c r="BG209" i="1"/>
  <c r="BF209" i="1"/>
  <c r="BE209" i="1"/>
  <c r="AY209" i="1"/>
  <c r="AZ209" i="1" s="1"/>
  <c r="AL209" i="1"/>
  <c r="AJ209" i="1" s="1"/>
  <c r="AF209" i="1"/>
  <c r="AE209" i="1"/>
  <c r="AC209" i="1"/>
  <c r="V209" i="1"/>
  <c r="U209" i="1"/>
  <c r="R209" i="1"/>
  <c r="Q209" i="1"/>
  <c r="P209" i="1"/>
  <c r="L209" i="1"/>
  <c r="C202" i="5" s="1"/>
  <c r="D209" i="1"/>
  <c r="B209" i="1" s="1"/>
  <c r="C209" i="1"/>
  <c r="A209" i="1"/>
  <c r="DD208" i="1"/>
  <c r="DC208" i="1" s="1"/>
  <c r="DA208" i="1"/>
  <c r="CZ208" i="1"/>
  <c r="CY208" i="1"/>
  <c r="CV208" i="1"/>
  <c r="H201" i="5" s="1"/>
  <c r="CD208" i="1"/>
  <c r="CA208" i="1"/>
  <c r="BY208" i="1"/>
  <c r="BS208" i="1"/>
  <c r="BV208" i="1" s="1"/>
  <c r="BQ208" i="1"/>
  <c r="BP208" i="1"/>
  <c r="BL208" i="1"/>
  <c r="BK208" i="1"/>
  <c r="BJ208" i="1"/>
  <c r="BI208" i="1"/>
  <c r="BH208" i="1"/>
  <c r="BG208" i="1"/>
  <c r="BF208" i="1"/>
  <c r="BE208" i="1"/>
  <c r="AE208" i="1"/>
  <c r="AF208" i="1" s="1"/>
  <c r="AC208" i="1"/>
  <c r="U208" i="1"/>
  <c r="R208" i="1"/>
  <c r="Q208" i="1"/>
  <c r="P208" i="1"/>
  <c r="L208" i="1"/>
  <c r="C201" i="5" s="1"/>
  <c r="D208" i="1"/>
  <c r="C208" i="1"/>
  <c r="B208" i="1" s="1"/>
  <c r="A208" i="1"/>
  <c r="DD207" i="1"/>
  <c r="CY207" i="1"/>
  <c r="CV207" i="1"/>
  <c r="H200" i="5" s="1"/>
  <c r="CD207" i="1"/>
  <c r="CB207" i="1"/>
  <c r="BY207" i="1"/>
  <c r="BW207" i="1"/>
  <c r="BV207" i="1"/>
  <c r="BS207" i="1"/>
  <c r="BQ207" i="1"/>
  <c r="BP207" i="1"/>
  <c r="BL207" i="1"/>
  <c r="BK207" i="1"/>
  <c r="BJ207" i="1"/>
  <c r="BI207" i="1"/>
  <c r="BH207" i="1"/>
  <c r="BG207" i="1"/>
  <c r="BF207" i="1"/>
  <c r="BE207" i="1"/>
  <c r="AE207" i="1"/>
  <c r="AF207" i="1" s="1"/>
  <c r="AC207" i="1"/>
  <c r="U207" i="1"/>
  <c r="R207" i="1"/>
  <c r="Q207" i="1"/>
  <c r="W207" i="1" s="1"/>
  <c r="X207" i="1" s="1"/>
  <c r="P207" i="1"/>
  <c r="L207" i="1"/>
  <c r="C200" i="5" s="1"/>
  <c r="D207" i="1"/>
  <c r="C207" i="1"/>
  <c r="B207" i="1"/>
  <c r="A207" i="1"/>
  <c r="DD206" i="1"/>
  <c r="DB206" i="1"/>
  <c r="CY206" i="1"/>
  <c r="CV206" i="1"/>
  <c r="H199" i="5" s="1"/>
  <c r="CD206" i="1"/>
  <c r="CB206" i="1"/>
  <c r="CA206" i="1"/>
  <c r="BY206" i="1"/>
  <c r="BW206" i="1"/>
  <c r="BV206" i="1"/>
  <c r="BS206" i="1"/>
  <c r="BQ206" i="1"/>
  <c r="BP206" i="1"/>
  <c r="BL206" i="1"/>
  <c r="BK206" i="1"/>
  <c r="BJ206" i="1"/>
  <c r="BI206" i="1"/>
  <c r="BH206" i="1"/>
  <c r="BG206" i="1"/>
  <c r="BF206" i="1"/>
  <c r="BE206" i="1"/>
  <c r="AE206" i="1"/>
  <c r="AF206" i="1" s="1"/>
  <c r="AC206" i="1"/>
  <c r="V206" i="1"/>
  <c r="U206" i="1"/>
  <c r="BT206" i="1" s="1"/>
  <c r="R206" i="1"/>
  <c r="Q206" i="1"/>
  <c r="W206" i="1" s="1"/>
  <c r="X206" i="1" s="1"/>
  <c r="P206" i="1"/>
  <c r="L206" i="1"/>
  <c r="C199" i="5" s="1"/>
  <c r="D206" i="1"/>
  <c r="C206" i="1"/>
  <c r="B206" i="1"/>
  <c r="A206" i="1"/>
  <c r="DD205" i="1"/>
  <c r="CY205" i="1"/>
  <c r="CV205" i="1"/>
  <c r="H198" i="5" s="1"/>
  <c r="CD205" i="1"/>
  <c r="CB205" i="1"/>
  <c r="CA205" i="1"/>
  <c r="BY205" i="1"/>
  <c r="BW205" i="1"/>
  <c r="BV205" i="1"/>
  <c r="BS205" i="1"/>
  <c r="BQ205" i="1"/>
  <c r="BP205" i="1"/>
  <c r="BL205" i="1"/>
  <c r="BK205" i="1"/>
  <c r="BJ205" i="1"/>
  <c r="BI205" i="1"/>
  <c r="BH205" i="1"/>
  <c r="BG205" i="1"/>
  <c r="BF205" i="1"/>
  <c r="BE205" i="1"/>
  <c r="AL205" i="1"/>
  <c r="AJ205" i="1" s="1"/>
  <c r="AY205" i="1" s="1"/>
  <c r="AZ205" i="1" s="1"/>
  <c r="AK205" i="1"/>
  <c r="AF205" i="1"/>
  <c r="AE205" i="1"/>
  <c r="AC205" i="1"/>
  <c r="V205" i="1"/>
  <c r="U205" i="1"/>
  <c r="BT205" i="1" s="1"/>
  <c r="R205" i="1"/>
  <c r="Q205" i="1"/>
  <c r="P205" i="1"/>
  <c r="L205" i="1"/>
  <c r="C198" i="5" s="1"/>
  <c r="D205" i="1"/>
  <c r="C205" i="1"/>
  <c r="B205" i="1"/>
  <c r="A205" i="1"/>
  <c r="DD204" i="1"/>
  <c r="DC204" i="1" s="1"/>
  <c r="DB204" i="1"/>
  <c r="CZ204" i="1"/>
  <c r="CY204" i="1"/>
  <c r="CX204" i="1"/>
  <c r="CV204" i="1"/>
  <c r="H197" i="5" s="1"/>
  <c r="CD204" i="1"/>
  <c r="CA204" i="1"/>
  <c r="CB204" i="1" s="1"/>
  <c r="BY204" i="1"/>
  <c r="BW204" i="1"/>
  <c r="BT204" i="1"/>
  <c r="BS204" i="1"/>
  <c r="BV204" i="1" s="1"/>
  <c r="BQ204" i="1"/>
  <c r="BP204" i="1"/>
  <c r="BL204" i="1"/>
  <c r="BK204" i="1"/>
  <c r="BJ204" i="1"/>
  <c r="BI204" i="1"/>
  <c r="BH204" i="1"/>
  <c r="BG204" i="1"/>
  <c r="BF204" i="1"/>
  <c r="BE204" i="1"/>
  <c r="AO204" i="1"/>
  <c r="AN204" i="1"/>
  <c r="AL204" i="1"/>
  <c r="AE204" i="1"/>
  <c r="AF204" i="1" s="1"/>
  <c r="AC204" i="1"/>
  <c r="Y204" i="1"/>
  <c r="Z204" i="1" s="1"/>
  <c r="X204" i="1"/>
  <c r="W204" i="1"/>
  <c r="U204" i="1"/>
  <c r="R204" i="1"/>
  <c r="Q204" i="1"/>
  <c r="P204" i="1"/>
  <c r="L204" i="1"/>
  <c r="C197" i="5" s="1"/>
  <c r="D204" i="1"/>
  <c r="C204" i="1"/>
  <c r="A204" i="1"/>
  <c r="DD203" i="1"/>
  <c r="DC203" i="1"/>
  <c r="DB203" i="1"/>
  <c r="DA203" i="1"/>
  <c r="CZ203" i="1"/>
  <c r="CY203" i="1"/>
  <c r="CV203" i="1"/>
  <c r="H196" i="5" s="1"/>
  <c r="CD203" i="1"/>
  <c r="CA203" i="1"/>
  <c r="BY203" i="1"/>
  <c r="BV203" i="1"/>
  <c r="BS203" i="1"/>
  <c r="BQ203" i="1"/>
  <c r="BP203" i="1"/>
  <c r="BL203" i="1"/>
  <c r="BK203" i="1"/>
  <c r="BJ203" i="1"/>
  <c r="BI203" i="1"/>
  <c r="BH203" i="1"/>
  <c r="BG203" i="1"/>
  <c r="BF203" i="1"/>
  <c r="BE203" i="1"/>
  <c r="AE203" i="1"/>
  <c r="AF203" i="1" s="1"/>
  <c r="AC203" i="1"/>
  <c r="W203" i="1"/>
  <c r="X203" i="1" s="1"/>
  <c r="U203" i="1"/>
  <c r="R203" i="1"/>
  <c r="Q203" i="1"/>
  <c r="P203" i="1"/>
  <c r="L203" i="1"/>
  <c r="C196" i="5" s="1"/>
  <c r="D203" i="1"/>
  <c r="C203" i="1"/>
  <c r="B203" i="1" s="1"/>
  <c r="A203" i="1"/>
  <c r="DD202" i="1"/>
  <c r="DC202" i="1" s="1"/>
  <c r="DA202" i="1"/>
  <c r="CY202" i="1"/>
  <c r="CV202" i="1"/>
  <c r="H195" i="5" s="1"/>
  <c r="CD202" i="1"/>
  <c r="CA202" i="1"/>
  <c r="BY202" i="1"/>
  <c r="BV202" i="1"/>
  <c r="BS202" i="1"/>
  <c r="BQ202" i="1"/>
  <c r="BP202" i="1"/>
  <c r="BL202" i="1"/>
  <c r="BK202" i="1"/>
  <c r="BJ202" i="1"/>
  <c r="BI202" i="1"/>
  <c r="BH202" i="1"/>
  <c r="BG202" i="1"/>
  <c r="BF202" i="1"/>
  <c r="BE202" i="1"/>
  <c r="AF202" i="1"/>
  <c r="AE202" i="1"/>
  <c r="AC202" i="1"/>
  <c r="V202" i="1"/>
  <c r="U202" i="1"/>
  <c r="CB202" i="1" s="1"/>
  <c r="R202" i="1"/>
  <c r="Q202" i="1"/>
  <c r="W202" i="1" s="1"/>
  <c r="X202" i="1" s="1"/>
  <c r="P202" i="1"/>
  <c r="L202" i="1"/>
  <c r="C195" i="5" s="1"/>
  <c r="D202" i="1"/>
  <c r="C202" i="1"/>
  <c r="B202" i="1"/>
  <c r="A202" i="1"/>
  <c r="DD201" i="1"/>
  <c r="CY201" i="1"/>
  <c r="CV201" i="1"/>
  <c r="H194" i="5" s="1"/>
  <c r="CD201" i="1"/>
  <c r="CB201" i="1"/>
  <c r="CA201" i="1"/>
  <c r="BY201" i="1"/>
  <c r="BS201" i="1"/>
  <c r="BV201" i="1" s="1"/>
  <c r="BQ201" i="1"/>
  <c r="BP201" i="1"/>
  <c r="BL201" i="1"/>
  <c r="BK201" i="1"/>
  <c r="BJ201" i="1"/>
  <c r="BI201" i="1"/>
  <c r="BH201" i="1"/>
  <c r="BG201" i="1"/>
  <c r="BF201" i="1"/>
  <c r="BE201" i="1"/>
  <c r="AE201" i="1"/>
  <c r="AF201" i="1" s="1"/>
  <c r="AC201" i="1"/>
  <c r="U201" i="1"/>
  <c r="R201" i="1"/>
  <c r="Q201" i="1"/>
  <c r="P201" i="1"/>
  <c r="L201" i="1"/>
  <c r="C194" i="5" s="1"/>
  <c r="D201" i="1"/>
  <c r="C201" i="1"/>
  <c r="B201" i="1" s="1"/>
  <c r="A201" i="1"/>
  <c r="DD200" i="1"/>
  <c r="DA200" i="1" s="1"/>
  <c r="DC200" i="1"/>
  <c r="CY200" i="1"/>
  <c r="CV200" i="1"/>
  <c r="H193" i="5" s="1"/>
  <c r="CD200" i="1"/>
  <c r="CB200" i="1"/>
  <c r="CA200" i="1"/>
  <c r="BY200" i="1"/>
  <c r="BS200" i="1"/>
  <c r="BV200" i="1" s="1"/>
  <c r="BQ200" i="1"/>
  <c r="BP200" i="1"/>
  <c r="BL200" i="1"/>
  <c r="BK200" i="1"/>
  <c r="BJ200" i="1"/>
  <c r="BI200" i="1"/>
  <c r="BH200" i="1"/>
  <c r="BG200" i="1"/>
  <c r="BF200" i="1"/>
  <c r="BE200" i="1"/>
  <c r="AN200" i="1"/>
  <c r="AL200" i="1"/>
  <c r="AS200" i="1" s="1"/>
  <c r="AF200" i="1"/>
  <c r="AE200" i="1"/>
  <c r="AC200" i="1"/>
  <c r="V200" i="1"/>
  <c r="U200" i="1"/>
  <c r="BT200" i="1" s="1"/>
  <c r="BW200" i="1" s="1"/>
  <c r="R200" i="1"/>
  <c r="AQ200" i="1" s="1"/>
  <c r="AP200" i="1" s="1"/>
  <c r="Q200" i="1"/>
  <c r="W200" i="1" s="1"/>
  <c r="X200" i="1" s="1"/>
  <c r="P200" i="1"/>
  <c r="L200" i="1"/>
  <c r="C193" i="5" s="1"/>
  <c r="D200" i="1"/>
  <c r="C200" i="1"/>
  <c r="B200" i="1"/>
  <c r="A200" i="1"/>
  <c r="DD199" i="1"/>
  <c r="DB199" i="1"/>
  <c r="CY199" i="1"/>
  <c r="CV199" i="1"/>
  <c r="H192" i="5" s="1"/>
  <c r="CD199" i="1"/>
  <c r="CA199" i="1"/>
  <c r="CB199" i="1" s="1"/>
  <c r="BY199" i="1"/>
  <c r="BS199" i="1"/>
  <c r="BV199" i="1" s="1"/>
  <c r="BQ199" i="1"/>
  <c r="BP199" i="1"/>
  <c r="BL199" i="1"/>
  <c r="BK199" i="1"/>
  <c r="BJ199" i="1"/>
  <c r="BI199" i="1"/>
  <c r="BH199" i="1"/>
  <c r="BG199" i="1"/>
  <c r="BF199" i="1"/>
  <c r="BE199" i="1"/>
  <c r="AN199" i="1"/>
  <c r="AL199" i="1"/>
  <c r="AE199" i="1"/>
  <c r="AF199" i="1" s="1"/>
  <c r="AC199" i="1"/>
  <c r="AA199" i="1"/>
  <c r="Y199" i="1"/>
  <c r="Z199" i="1" s="1"/>
  <c r="U199" i="1"/>
  <c r="R199" i="1"/>
  <c r="Q199" i="1"/>
  <c r="W199" i="1" s="1"/>
  <c r="X199" i="1" s="1"/>
  <c r="CX199" i="1" s="1"/>
  <c r="P199" i="1"/>
  <c r="L199" i="1"/>
  <c r="C192" i="5" s="1"/>
  <c r="D199" i="1"/>
  <c r="C199" i="1"/>
  <c r="B199" i="1" s="1"/>
  <c r="A199" i="1"/>
  <c r="DD198" i="1"/>
  <c r="DC198" i="1"/>
  <c r="DB198" i="1"/>
  <c r="DA198" i="1"/>
  <c r="CZ198" i="1"/>
  <c r="CY198" i="1"/>
  <c r="CV198" i="1"/>
  <c r="H191" i="5" s="1"/>
  <c r="CD198" i="1"/>
  <c r="CB198" i="1"/>
  <c r="CA198" i="1"/>
  <c r="BY198" i="1"/>
  <c r="BS198" i="1"/>
  <c r="BV198" i="1" s="1"/>
  <c r="BQ198" i="1"/>
  <c r="BP198" i="1"/>
  <c r="BL198" i="1"/>
  <c r="BK198" i="1"/>
  <c r="BJ198" i="1"/>
  <c r="BI198" i="1"/>
  <c r="BH198" i="1"/>
  <c r="BG198" i="1"/>
  <c r="BF198" i="1"/>
  <c r="BE198" i="1"/>
  <c r="AL198" i="1"/>
  <c r="AN198" i="1" s="1"/>
  <c r="AF198" i="1"/>
  <c r="AE198" i="1"/>
  <c r="AC198" i="1"/>
  <c r="X198" i="1"/>
  <c r="W198" i="1"/>
  <c r="V198" i="1"/>
  <c r="U198" i="1"/>
  <c r="BT198" i="1" s="1"/>
  <c r="BW198" i="1" s="1"/>
  <c r="R198" i="1"/>
  <c r="Q198" i="1"/>
  <c r="P198" i="1"/>
  <c r="L198" i="1"/>
  <c r="C191" i="5" s="1"/>
  <c r="D198" i="1"/>
  <c r="C198" i="1"/>
  <c r="A198" i="1"/>
  <c r="DD197" i="1"/>
  <c r="DC197" i="1" s="1"/>
  <c r="DB197" i="1"/>
  <c r="DA197" i="1"/>
  <c r="CZ197" i="1"/>
  <c r="CY197" i="1"/>
  <c r="CV197" i="1"/>
  <c r="H190" i="5" s="1"/>
  <c r="CD197" i="1"/>
  <c r="CA197" i="1"/>
  <c r="CB197" i="1" s="1"/>
  <c r="BY197" i="1"/>
  <c r="BW197" i="1"/>
  <c r="BV197" i="1"/>
  <c r="BS197" i="1"/>
  <c r="BQ197" i="1"/>
  <c r="BP197" i="1"/>
  <c r="BL197" i="1"/>
  <c r="BK197" i="1"/>
  <c r="BJ197" i="1"/>
  <c r="BI197" i="1"/>
  <c r="BH197" i="1"/>
  <c r="BG197" i="1"/>
  <c r="BF197" i="1"/>
  <c r="BE197" i="1"/>
  <c r="AL197" i="1"/>
  <c r="AJ197" i="1"/>
  <c r="AF197" i="1"/>
  <c r="AE197" i="1"/>
  <c r="AC197" i="1"/>
  <c r="Y197" i="1"/>
  <c r="W197" i="1"/>
  <c r="X197" i="1" s="1"/>
  <c r="CX197" i="1" s="1"/>
  <c r="U197" i="1"/>
  <c r="BT197" i="1" s="1"/>
  <c r="R197" i="1"/>
  <c r="Q197" i="1"/>
  <c r="V197" i="1" s="1"/>
  <c r="P197" i="1"/>
  <c r="L197" i="1"/>
  <c r="C190" i="5" s="1"/>
  <c r="D197" i="1"/>
  <c r="C197" i="1"/>
  <c r="B197" i="1" s="1"/>
  <c r="A197" i="1"/>
  <c r="DD196" i="1"/>
  <c r="DC196" i="1"/>
  <c r="DB196" i="1"/>
  <c r="DA196" i="1"/>
  <c r="CZ196" i="1"/>
  <c r="CY196" i="1"/>
  <c r="CV196" i="1"/>
  <c r="H189" i="5" s="1"/>
  <c r="CD196" i="1"/>
  <c r="CB196" i="1"/>
  <c r="CA196" i="1"/>
  <c r="BY196" i="1"/>
  <c r="BW196" i="1"/>
  <c r="BV196" i="1"/>
  <c r="BS196" i="1"/>
  <c r="BQ196" i="1"/>
  <c r="BP196" i="1"/>
  <c r="BL196" i="1"/>
  <c r="BK196" i="1"/>
  <c r="BJ196" i="1"/>
  <c r="BI196" i="1"/>
  <c r="BH196" i="1"/>
  <c r="BG196" i="1"/>
  <c r="BF196" i="1"/>
  <c r="BE196" i="1"/>
  <c r="AF196" i="1"/>
  <c r="AE196" i="1"/>
  <c r="AC196" i="1"/>
  <c r="X196" i="1"/>
  <c r="W196" i="1"/>
  <c r="V196" i="1"/>
  <c r="U196" i="1"/>
  <c r="R196" i="1"/>
  <c r="Q196" i="1"/>
  <c r="P196" i="1"/>
  <c r="L196" i="1"/>
  <c r="C189" i="5" s="1"/>
  <c r="D196" i="1"/>
  <c r="C196" i="1"/>
  <c r="B196" i="1"/>
  <c r="A196" i="1"/>
  <c r="DD195" i="1"/>
  <c r="DC195" i="1" s="1"/>
  <c r="DB195" i="1"/>
  <c r="CZ195" i="1"/>
  <c r="CY195" i="1"/>
  <c r="CV195" i="1"/>
  <c r="H188" i="5" s="1"/>
  <c r="CD195" i="1"/>
  <c r="CA195" i="1"/>
  <c r="CB195" i="1" s="1"/>
  <c r="BY195" i="1"/>
  <c r="BV195" i="1"/>
  <c r="BS195" i="1"/>
  <c r="BQ195" i="1"/>
  <c r="BP195" i="1"/>
  <c r="BL195" i="1"/>
  <c r="BK195" i="1"/>
  <c r="BJ195" i="1"/>
  <c r="BI195" i="1"/>
  <c r="BH195" i="1"/>
  <c r="BG195" i="1"/>
  <c r="BF195" i="1"/>
  <c r="BE195" i="1"/>
  <c r="AE195" i="1"/>
  <c r="AF195" i="1" s="1"/>
  <c r="AC195" i="1"/>
  <c r="W195" i="1"/>
  <c r="X195" i="1" s="1"/>
  <c r="Y195" i="1" s="1"/>
  <c r="U195" i="1"/>
  <c r="AL195" i="1" s="1"/>
  <c r="R195" i="1"/>
  <c r="Q195" i="1"/>
  <c r="P195" i="1"/>
  <c r="L195" i="1"/>
  <c r="C188" i="5" s="1"/>
  <c r="D195" i="1"/>
  <c r="C195" i="1"/>
  <c r="B195" i="1" s="1"/>
  <c r="A195" i="1"/>
  <c r="DD194" i="1"/>
  <c r="DC194" i="1" s="1"/>
  <c r="DA194" i="1"/>
  <c r="CY194" i="1"/>
  <c r="CV194" i="1"/>
  <c r="H187" i="5" s="1"/>
  <c r="CD194" i="1"/>
  <c r="CB194" i="1"/>
  <c r="CA194" i="1"/>
  <c r="BY194" i="1"/>
  <c r="BS194" i="1"/>
  <c r="BV194" i="1" s="1"/>
  <c r="BQ194" i="1"/>
  <c r="BP194" i="1"/>
  <c r="BL194" i="1"/>
  <c r="BK194" i="1"/>
  <c r="BJ194" i="1"/>
  <c r="BI194" i="1"/>
  <c r="BH194" i="1"/>
  <c r="BG194" i="1"/>
  <c r="BF194" i="1"/>
  <c r="BE194" i="1"/>
  <c r="AF194" i="1"/>
  <c r="AE194" i="1"/>
  <c r="AC194" i="1"/>
  <c r="V194" i="1"/>
  <c r="U194" i="1"/>
  <c r="R194" i="1"/>
  <c r="Q194" i="1"/>
  <c r="P194" i="1"/>
  <c r="L194" i="1"/>
  <c r="C187" i="5" s="1"/>
  <c r="D194" i="1"/>
  <c r="B194" i="1" s="1"/>
  <c r="C194" i="1"/>
  <c r="A194" i="1"/>
  <c r="DD193" i="1"/>
  <c r="CZ193" i="1" s="1"/>
  <c r="CY193" i="1"/>
  <c r="CV193" i="1"/>
  <c r="H186" i="5" s="1"/>
  <c r="CD193" i="1"/>
  <c r="CB193" i="1"/>
  <c r="CA193" i="1"/>
  <c r="BY193" i="1"/>
  <c r="BT193" i="1"/>
  <c r="BW193" i="1" s="1"/>
  <c r="BS193" i="1"/>
  <c r="BV193" i="1" s="1"/>
  <c r="BQ193" i="1"/>
  <c r="BP193" i="1"/>
  <c r="BL193" i="1"/>
  <c r="BK193" i="1"/>
  <c r="BJ193" i="1"/>
  <c r="BI193" i="1"/>
  <c r="BH193" i="1"/>
  <c r="BG193" i="1"/>
  <c r="BF193" i="1"/>
  <c r="BE193" i="1"/>
  <c r="AE193" i="1"/>
  <c r="AF193" i="1" s="1"/>
  <c r="AC193" i="1"/>
  <c r="W193" i="1"/>
  <c r="X193" i="1" s="1"/>
  <c r="Y193" i="1" s="1"/>
  <c r="Z193" i="1" s="1"/>
  <c r="U193" i="1"/>
  <c r="R193" i="1"/>
  <c r="Q193" i="1"/>
  <c r="P193" i="1"/>
  <c r="L193" i="1"/>
  <c r="C186" i="5" s="1"/>
  <c r="D193" i="1"/>
  <c r="C193" i="1"/>
  <c r="B193" i="1" s="1"/>
  <c r="A193" i="1"/>
  <c r="DD192" i="1"/>
  <c r="DC192" i="1" s="1"/>
  <c r="CY192" i="1"/>
  <c r="CV192" i="1"/>
  <c r="H185" i="5" s="1"/>
  <c r="CD192" i="1"/>
  <c r="CB192" i="1"/>
  <c r="CA192" i="1"/>
  <c r="BY192" i="1"/>
  <c r="BV192" i="1"/>
  <c r="BS192" i="1"/>
  <c r="BQ192" i="1"/>
  <c r="BP192" i="1"/>
  <c r="BL192" i="1"/>
  <c r="BK192" i="1"/>
  <c r="BJ192" i="1"/>
  <c r="BI192" i="1"/>
  <c r="BH192" i="1"/>
  <c r="BG192" i="1"/>
  <c r="BF192" i="1"/>
  <c r="BE192" i="1"/>
  <c r="AQ192" i="1"/>
  <c r="AP192" i="1" s="1"/>
  <c r="AN192" i="1"/>
  <c r="AO192" i="1" s="1"/>
  <c r="AL192" i="1"/>
  <c r="AF192" i="1"/>
  <c r="AE192" i="1"/>
  <c r="AC192" i="1"/>
  <c r="U192" i="1"/>
  <c r="BT192" i="1" s="1"/>
  <c r="BW192" i="1" s="1"/>
  <c r="R192" i="1"/>
  <c r="Q192" i="1"/>
  <c r="W192" i="1" s="1"/>
  <c r="X192" i="1" s="1"/>
  <c r="CX192" i="1" s="1"/>
  <c r="P192" i="1"/>
  <c r="L192" i="1"/>
  <c r="C185" i="5" s="1"/>
  <c r="D192" i="1"/>
  <c r="C192" i="1"/>
  <c r="B192" i="1"/>
  <c r="A192" i="1"/>
  <c r="DD191" i="1"/>
  <c r="CZ191" i="1" s="1"/>
  <c r="DC191" i="1"/>
  <c r="DB191" i="1"/>
  <c r="DA191" i="1"/>
  <c r="CY191" i="1"/>
  <c r="CV191" i="1"/>
  <c r="H184" i="5" s="1"/>
  <c r="CD191" i="1"/>
  <c r="CA191" i="1"/>
  <c r="CB191" i="1" s="1"/>
  <c r="BY191" i="1"/>
  <c r="BS191" i="1"/>
  <c r="BV191" i="1" s="1"/>
  <c r="BQ191" i="1"/>
  <c r="BP191" i="1"/>
  <c r="BL191" i="1"/>
  <c r="BK191" i="1"/>
  <c r="BJ191" i="1"/>
  <c r="BI191" i="1"/>
  <c r="BH191" i="1"/>
  <c r="BG191" i="1"/>
  <c r="BF191" i="1"/>
  <c r="BE191" i="1"/>
  <c r="AE191" i="1"/>
  <c r="AF191" i="1" s="1"/>
  <c r="AC191" i="1"/>
  <c r="U191" i="1"/>
  <c r="V191" i="1" s="1"/>
  <c r="R191" i="1"/>
  <c r="Q191" i="1"/>
  <c r="P191" i="1"/>
  <c r="L191" i="1"/>
  <c r="C184" i="5" s="1"/>
  <c r="D191" i="1"/>
  <c r="C191" i="1"/>
  <c r="B191" i="1" s="1"/>
  <c r="A191" i="1"/>
  <c r="DD190" i="1"/>
  <c r="DC190" i="1"/>
  <c r="DB190" i="1"/>
  <c r="DA190" i="1"/>
  <c r="CZ190" i="1"/>
  <c r="CY190" i="1"/>
  <c r="CV190" i="1"/>
  <c r="H183" i="5" s="1"/>
  <c r="CD190" i="1"/>
  <c r="CB190" i="1"/>
  <c r="CA190" i="1"/>
  <c r="BY190" i="1"/>
  <c r="BV190" i="1"/>
  <c r="BS190" i="1"/>
  <c r="BQ190" i="1"/>
  <c r="BP190" i="1"/>
  <c r="BL190" i="1"/>
  <c r="BK190" i="1"/>
  <c r="BJ190" i="1"/>
  <c r="BI190" i="1"/>
  <c r="BH190" i="1"/>
  <c r="BG190" i="1"/>
  <c r="BF190" i="1"/>
  <c r="BE190" i="1"/>
  <c r="AL190" i="1"/>
  <c r="AN190" i="1" s="1"/>
  <c r="AF190" i="1"/>
  <c r="AE190" i="1"/>
  <c r="AC190" i="1"/>
  <c r="X190" i="1"/>
  <c r="CX190" i="1" s="1"/>
  <c r="W190" i="1"/>
  <c r="V190" i="1"/>
  <c r="U190" i="1"/>
  <c r="BT190" i="1" s="1"/>
  <c r="BW190" i="1" s="1"/>
  <c r="R190" i="1"/>
  <c r="AQ190" i="1" s="1"/>
  <c r="AP190" i="1" s="1"/>
  <c r="Q190" i="1"/>
  <c r="P190" i="1"/>
  <c r="L190" i="1"/>
  <c r="C183" i="5" s="1"/>
  <c r="D190" i="1"/>
  <c r="B190" i="1" s="1"/>
  <c r="C190" i="1"/>
  <c r="A190" i="1"/>
  <c r="DD189" i="1"/>
  <c r="CY189" i="1"/>
  <c r="CV189" i="1"/>
  <c r="H182" i="5" s="1"/>
  <c r="CD189" i="1"/>
  <c r="CA189" i="1"/>
  <c r="CB189" i="1" s="1"/>
  <c r="BY189" i="1"/>
  <c r="BW189" i="1"/>
  <c r="BV189" i="1"/>
  <c r="BT189" i="1"/>
  <c r="BS189" i="1"/>
  <c r="BQ189" i="1"/>
  <c r="BP189" i="1"/>
  <c r="BL189" i="1"/>
  <c r="BK189" i="1"/>
  <c r="BJ189" i="1"/>
  <c r="BI189" i="1"/>
  <c r="BH189" i="1"/>
  <c r="BG189" i="1"/>
  <c r="BF189" i="1"/>
  <c r="BE189" i="1"/>
  <c r="AL189" i="1"/>
  <c r="AJ189" i="1" s="1"/>
  <c r="AE189" i="1"/>
  <c r="AF189" i="1" s="1"/>
  <c r="AC189" i="1"/>
  <c r="U189" i="1"/>
  <c r="AN189" i="1" s="1"/>
  <c r="R189" i="1"/>
  <c r="Q189" i="1"/>
  <c r="W189" i="1" s="1"/>
  <c r="X189" i="1" s="1"/>
  <c r="P189" i="1"/>
  <c r="L189" i="1"/>
  <c r="C182" i="5" s="1"/>
  <c r="D189" i="1"/>
  <c r="B189" i="1" s="1"/>
  <c r="C189" i="1"/>
  <c r="A189" i="1"/>
  <c r="DD188" i="1"/>
  <c r="DC188" i="1"/>
  <c r="DB188" i="1"/>
  <c r="DA188" i="1"/>
  <c r="CZ188" i="1"/>
  <c r="CY188" i="1"/>
  <c r="CV188" i="1"/>
  <c r="H181" i="5" s="1"/>
  <c r="CD188" i="1"/>
  <c r="CB188" i="1"/>
  <c r="CA188" i="1"/>
  <c r="BY188" i="1"/>
  <c r="BW188" i="1"/>
  <c r="BV188" i="1"/>
  <c r="BS188" i="1"/>
  <c r="BQ188" i="1"/>
  <c r="BP188" i="1"/>
  <c r="BL188" i="1"/>
  <c r="BK188" i="1"/>
  <c r="BJ188" i="1"/>
  <c r="BI188" i="1"/>
  <c r="BH188" i="1"/>
  <c r="BG188" i="1"/>
  <c r="BF188" i="1"/>
  <c r="BE188" i="1"/>
  <c r="AF188" i="1"/>
  <c r="AE188" i="1"/>
  <c r="AC188" i="1"/>
  <c r="V188" i="1"/>
  <c r="U188" i="1"/>
  <c r="R188" i="1"/>
  <c r="Q188" i="1"/>
  <c r="P188" i="1"/>
  <c r="L188" i="1"/>
  <c r="C181" i="5" s="1"/>
  <c r="D188" i="1"/>
  <c r="C188" i="1"/>
  <c r="B188" i="1"/>
  <c r="A188" i="1"/>
  <c r="DD187" i="1"/>
  <c r="DC187" i="1" s="1"/>
  <c r="DB187" i="1"/>
  <c r="CZ187" i="1"/>
  <c r="CY187" i="1"/>
  <c r="CV187" i="1"/>
  <c r="H180" i="5" s="1"/>
  <c r="CD187" i="1"/>
  <c r="CA187" i="1"/>
  <c r="CB187" i="1" s="1"/>
  <c r="BY187" i="1"/>
  <c r="BW187" i="1"/>
  <c r="BV187" i="1"/>
  <c r="BS187" i="1"/>
  <c r="BQ187" i="1"/>
  <c r="BP187" i="1"/>
  <c r="BL187" i="1"/>
  <c r="BK187" i="1"/>
  <c r="BJ187" i="1"/>
  <c r="BI187" i="1"/>
  <c r="BH187" i="1"/>
  <c r="BG187" i="1"/>
  <c r="BF187" i="1"/>
  <c r="BE187" i="1"/>
  <c r="AL187" i="1"/>
  <c r="AF187" i="1"/>
  <c r="AE187" i="1"/>
  <c r="AC187" i="1"/>
  <c r="X187" i="1"/>
  <c r="U187" i="1"/>
  <c r="BT187" i="1" s="1"/>
  <c r="R187" i="1"/>
  <c r="Q187" i="1"/>
  <c r="W187" i="1" s="1"/>
  <c r="P187" i="1"/>
  <c r="L187" i="1"/>
  <c r="C180" i="5" s="1"/>
  <c r="D187" i="1"/>
  <c r="C187" i="1"/>
  <c r="B187" i="1" s="1"/>
  <c r="A187" i="1"/>
  <c r="DD186" i="1"/>
  <c r="DB186" i="1" s="1"/>
  <c r="DC186" i="1"/>
  <c r="CY186" i="1"/>
  <c r="CV186" i="1"/>
  <c r="H179" i="5" s="1"/>
  <c r="CD186" i="1"/>
  <c r="CB186" i="1"/>
  <c r="CA186" i="1"/>
  <c r="BY186" i="1"/>
  <c r="BV186" i="1"/>
  <c r="BS186" i="1"/>
  <c r="BQ186" i="1"/>
  <c r="BP186" i="1"/>
  <c r="BL186" i="1"/>
  <c r="BK186" i="1"/>
  <c r="BJ186" i="1"/>
  <c r="BI186" i="1"/>
  <c r="BH186" i="1"/>
  <c r="BG186" i="1"/>
  <c r="BF186" i="1"/>
  <c r="BE186" i="1"/>
  <c r="AF186" i="1"/>
  <c r="AE186" i="1"/>
  <c r="AC186" i="1"/>
  <c r="U186" i="1"/>
  <c r="BT186" i="1" s="1"/>
  <c r="BW186" i="1" s="1"/>
  <c r="R186" i="1"/>
  <c r="Q186" i="1"/>
  <c r="P186" i="1"/>
  <c r="L186" i="1"/>
  <c r="C179" i="5" s="1"/>
  <c r="D186" i="1"/>
  <c r="C186" i="1"/>
  <c r="B186" i="1" s="1"/>
  <c r="A186" i="1"/>
  <c r="DD185" i="1"/>
  <c r="DA185" i="1" s="1"/>
  <c r="DC185" i="1"/>
  <c r="DB185" i="1"/>
  <c r="CZ185" i="1"/>
  <c r="CY185" i="1"/>
  <c r="CV185" i="1"/>
  <c r="H178" i="5" s="1"/>
  <c r="CD185" i="1"/>
  <c r="CA185" i="1"/>
  <c r="CB185" i="1" s="1"/>
  <c r="BY185" i="1"/>
  <c r="BW185" i="1"/>
  <c r="BV185" i="1"/>
  <c r="BT185" i="1"/>
  <c r="BS185" i="1"/>
  <c r="BQ185" i="1"/>
  <c r="BP185" i="1"/>
  <c r="BL185" i="1"/>
  <c r="BK185" i="1"/>
  <c r="BJ185" i="1"/>
  <c r="BI185" i="1"/>
  <c r="BH185" i="1"/>
  <c r="BG185" i="1"/>
  <c r="BF185" i="1"/>
  <c r="BE185" i="1"/>
  <c r="AL185" i="1"/>
  <c r="AJ185" i="1" s="1"/>
  <c r="AE185" i="1"/>
  <c r="AF185" i="1" s="1"/>
  <c r="AC185" i="1"/>
  <c r="W185" i="1"/>
  <c r="X185" i="1" s="1"/>
  <c r="CX185" i="1" s="1"/>
  <c r="U185" i="1"/>
  <c r="V185" i="1" s="1"/>
  <c r="R185" i="1"/>
  <c r="Q185" i="1"/>
  <c r="P185" i="1"/>
  <c r="L185" i="1"/>
  <c r="C178" i="5" s="1"/>
  <c r="D185" i="1"/>
  <c r="C185" i="1"/>
  <c r="B185" i="1" s="1"/>
  <c r="A185" i="1"/>
  <c r="DD184" i="1"/>
  <c r="CY184" i="1"/>
  <c r="CV184" i="1"/>
  <c r="H177" i="5" s="1"/>
  <c r="CD184" i="1"/>
  <c r="CB184" i="1"/>
  <c r="CA184" i="1"/>
  <c r="BY184" i="1"/>
  <c r="BW184" i="1"/>
  <c r="BV184" i="1"/>
  <c r="BT184" i="1"/>
  <c r="BS184" i="1"/>
  <c r="BQ184" i="1"/>
  <c r="BP184" i="1"/>
  <c r="BL184" i="1"/>
  <c r="BK184" i="1"/>
  <c r="BJ184" i="1"/>
  <c r="BI184" i="1"/>
  <c r="BH184" i="1"/>
  <c r="BG184" i="1"/>
  <c r="BF184" i="1"/>
  <c r="BE184" i="1"/>
  <c r="AF184" i="1"/>
  <c r="AE184" i="1"/>
  <c r="AC184" i="1"/>
  <c r="V184" i="1"/>
  <c r="U184" i="1"/>
  <c r="AL184" i="1" s="1"/>
  <c r="R184" i="1"/>
  <c r="Q184" i="1"/>
  <c r="W184" i="1" s="1"/>
  <c r="X184" i="1" s="1"/>
  <c r="P184" i="1"/>
  <c r="L184" i="1"/>
  <c r="C177" i="5" s="1"/>
  <c r="D184" i="1"/>
  <c r="C184" i="1"/>
  <c r="B184" i="1"/>
  <c r="A184" i="1"/>
  <c r="DD183" i="1"/>
  <c r="CZ183" i="1" s="1"/>
  <c r="DC183" i="1"/>
  <c r="DB183" i="1"/>
  <c r="DA183" i="1"/>
  <c r="CY183" i="1"/>
  <c r="CX183" i="1"/>
  <c r="CV183" i="1"/>
  <c r="H176" i="5" s="1"/>
  <c r="CD183" i="1"/>
  <c r="CA183" i="1"/>
  <c r="BY183" i="1"/>
  <c r="BS183" i="1"/>
  <c r="BV183" i="1" s="1"/>
  <c r="BQ183" i="1"/>
  <c r="BP183" i="1"/>
  <c r="BL183" i="1"/>
  <c r="BK183" i="1"/>
  <c r="BJ183" i="1"/>
  <c r="BI183" i="1"/>
  <c r="BH183" i="1"/>
  <c r="BG183" i="1"/>
  <c r="BF183" i="1"/>
  <c r="BE183" i="1"/>
  <c r="AE183" i="1"/>
  <c r="AF183" i="1" s="1"/>
  <c r="AC183" i="1"/>
  <c r="U183" i="1"/>
  <c r="BT183" i="1" s="1"/>
  <c r="BW183" i="1" s="1"/>
  <c r="R183" i="1"/>
  <c r="Q183" i="1"/>
  <c r="W183" i="1" s="1"/>
  <c r="X183" i="1" s="1"/>
  <c r="Y183" i="1" s="1"/>
  <c r="P183" i="1"/>
  <c r="L183" i="1"/>
  <c r="C176" i="5" s="1"/>
  <c r="D183" i="1"/>
  <c r="C183" i="1"/>
  <c r="A183" i="1"/>
  <c r="DD182" i="1"/>
  <c r="DC182" i="1" s="1"/>
  <c r="DB182" i="1"/>
  <c r="CY182" i="1"/>
  <c r="CV182" i="1"/>
  <c r="H175" i="5" s="1"/>
  <c r="CD182" i="1"/>
  <c r="CB182" i="1"/>
  <c r="CA182" i="1"/>
  <c r="BY182" i="1"/>
  <c r="BS182" i="1"/>
  <c r="BV182" i="1" s="1"/>
  <c r="BQ182" i="1"/>
  <c r="BP182" i="1"/>
  <c r="BL182" i="1"/>
  <c r="BK182" i="1"/>
  <c r="BJ182" i="1"/>
  <c r="BI182" i="1"/>
  <c r="BH182" i="1"/>
  <c r="BG182" i="1"/>
  <c r="BF182" i="1"/>
  <c r="BE182" i="1"/>
  <c r="AL182" i="1"/>
  <c r="AN182" i="1" s="1"/>
  <c r="AJ182" i="1"/>
  <c r="AY182" i="1" s="1"/>
  <c r="AZ182" i="1" s="1"/>
  <c r="AF182" i="1"/>
  <c r="AE182" i="1"/>
  <c r="AC182" i="1"/>
  <c r="W182" i="1"/>
  <c r="X182" i="1" s="1"/>
  <c r="V182" i="1"/>
  <c r="U182" i="1"/>
  <c r="BT182" i="1" s="1"/>
  <c r="BW182" i="1" s="1"/>
  <c r="R182" i="1"/>
  <c r="Q182" i="1"/>
  <c r="P182" i="1"/>
  <c r="L182" i="1"/>
  <c r="C175" i="5" s="1"/>
  <c r="D182" i="1"/>
  <c r="C182" i="1"/>
  <c r="B182" i="1" s="1"/>
  <c r="A182" i="1"/>
  <c r="DD181" i="1"/>
  <c r="DC181" i="1"/>
  <c r="DB181" i="1"/>
  <c r="DA181" i="1"/>
  <c r="CZ181" i="1"/>
  <c r="CY181" i="1"/>
  <c r="CV181" i="1"/>
  <c r="H174" i="5" s="1"/>
  <c r="CD181" i="1"/>
  <c r="CA181" i="1"/>
  <c r="CB181" i="1" s="1"/>
  <c r="BY181" i="1"/>
  <c r="BV181" i="1"/>
  <c r="BT181" i="1"/>
  <c r="BW181" i="1" s="1"/>
  <c r="BS181" i="1"/>
  <c r="BQ181" i="1"/>
  <c r="BP181" i="1"/>
  <c r="BL181" i="1"/>
  <c r="BK181" i="1"/>
  <c r="BJ181" i="1"/>
  <c r="BI181" i="1"/>
  <c r="BH181" i="1"/>
  <c r="BG181" i="1"/>
  <c r="BF181" i="1"/>
  <c r="BE181" i="1"/>
  <c r="AJ181" i="1"/>
  <c r="AF181" i="1"/>
  <c r="AE181" i="1"/>
  <c r="AC181" i="1"/>
  <c r="W181" i="1"/>
  <c r="X181" i="1" s="1"/>
  <c r="V181" i="1"/>
  <c r="U181" i="1"/>
  <c r="AL181" i="1" s="1"/>
  <c r="AN181" i="1" s="1"/>
  <c r="R181" i="1"/>
  <c r="Q181" i="1"/>
  <c r="P181" i="1"/>
  <c r="L181" i="1"/>
  <c r="C174" i="5" s="1"/>
  <c r="D181" i="1"/>
  <c r="C181" i="1"/>
  <c r="B181" i="1" s="1"/>
  <c r="A181" i="1"/>
  <c r="DD180" i="1"/>
  <c r="DC180" i="1"/>
  <c r="DB180" i="1"/>
  <c r="DA180" i="1"/>
  <c r="CZ180" i="1"/>
  <c r="CY180" i="1"/>
  <c r="CV180" i="1"/>
  <c r="H173" i="5" s="1"/>
  <c r="CD180" i="1"/>
  <c r="CA180" i="1"/>
  <c r="CB180" i="1" s="1"/>
  <c r="BY180" i="1"/>
  <c r="BV180" i="1"/>
  <c r="BT180" i="1"/>
  <c r="O16" i="4" s="1"/>
  <c r="BS180" i="1"/>
  <c r="BQ180" i="1"/>
  <c r="BP180" i="1"/>
  <c r="BL180" i="1"/>
  <c r="BK180" i="1"/>
  <c r="BJ180" i="1"/>
  <c r="BI180" i="1"/>
  <c r="BH180" i="1"/>
  <c r="BG180" i="1"/>
  <c r="BF180" i="1"/>
  <c r="BE180" i="1"/>
  <c r="AY180" i="1"/>
  <c r="AZ180" i="1" s="1"/>
  <c r="AL180" i="1"/>
  <c r="AJ180" i="1"/>
  <c r="AK180" i="1" s="1"/>
  <c r="AF180" i="1"/>
  <c r="AE180" i="1"/>
  <c r="AC180" i="1"/>
  <c r="X180" i="1"/>
  <c r="CX180" i="1" s="1"/>
  <c r="W180" i="1"/>
  <c r="V180" i="1"/>
  <c r="U180" i="1"/>
  <c r="R180" i="1"/>
  <c r="Q180" i="1"/>
  <c r="P180" i="1"/>
  <c r="L180" i="1"/>
  <c r="C173" i="5" s="1"/>
  <c r="D180" i="1"/>
  <c r="B180" i="1" s="1"/>
  <c r="C180" i="1"/>
  <c r="A180" i="1"/>
  <c r="DD179" i="1"/>
  <c r="DC179" i="1" s="1"/>
  <c r="DB179" i="1"/>
  <c r="DA179" i="1"/>
  <c r="CZ179" i="1"/>
  <c r="CY179" i="1"/>
  <c r="CV179" i="1"/>
  <c r="H172" i="5" s="1"/>
  <c r="CD179" i="1"/>
  <c r="CA179" i="1"/>
  <c r="BY179" i="1"/>
  <c r="BS179" i="1"/>
  <c r="BV179" i="1" s="1"/>
  <c r="BQ179" i="1"/>
  <c r="BP179" i="1"/>
  <c r="BL179" i="1"/>
  <c r="BK179" i="1"/>
  <c r="BJ179" i="1"/>
  <c r="BI179" i="1"/>
  <c r="BH179" i="1"/>
  <c r="BG179" i="1"/>
  <c r="BF179" i="1"/>
  <c r="BE179" i="1"/>
  <c r="AF179" i="1"/>
  <c r="C13" i="3" s="1"/>
  <c r="AE179" i="1"/>
  <c r="AC179" i="1"/>
  <c r="U179" i="1"/>
  <c r="R179" i="1"/>
  <c r="Q179" i="1"/>
  <c r="P179" i="1"/>
  <c r="L179" i="1"/>
  <c r="C172" i="5" s="1"/>
  <c r="D179" i="1"/>
  <c r="B179" i="1" s="1"/>
  <c r="C179" i="1"/>
  <c r="A179" i="1"/>
  <c r="DD178" i="1"/>
  <c r="DB178" i="1" s="1"/>
  <c r="DA178" i="1"/>
  <c r="CY178" i="1"/>
  <c r="CV178" i="1"/>
  <c r="H171" i="5" s="1"/>
  <c r="CD178" i="1"/>
  <c r="CB178" i="1"/>
  <c r="CA178" i="1"/>
  <c r="BY178" i="1"/>
  <c r="BV178" i="1"/>
  <c r="BS178" i="1"/>
  <c r="BQ178" i="1"/>
  <c r="BP178" i="1"/>
  <c r="BL178" i="1"/>
  <c r="BK178" i="1"/>
  <c r="BJ178" i="1"/>
  <c r="BI178" i="1"/>
  <c r="BH178" i="1"/>
  <c r="BG178" i="1"/>
  <c r="BF178" i="1"/>
  <c r="BE178" i="1"/>
  <c r="AY178" i="1"/>
  <c r="AZ178" i="1" s="1"/>
  <c r="AN178" i="1"/>
  <c r="AL178" i="1"/>
  <c r="AK178" i="1"/>
  <c r="AJ178" i="1"/>
  <c r="AF178" i="1"/>
  <c r="AE178" i="1"/>
  <c r="AC178" i="1"/>
  <c r="U178" i="1"/>
  <c r="BT178" i="1" s="1"/>
  <c r="BW178" i="1" s="1"/>
  <c r="R178" i="1"/>
  <c r="Q178" i="1"/>
  <c r="P178" i="1"/>
  <c r="L178" i="1"/>
  <c r="C171" i="5" s="1"/>
  <c r="D178" i="1"/>
  <c r="C178" i="1"/>
  <c r="B178" i="1"/>
  <c r="A178" i="1"/>
  <c r="DD177" i="1"/>
  <c r="DC177" i="1"/>
  <c r="DB177" i="1"/>
  <c r="DA177" i="1"/>
  <c r="CZ177" i="1"/>
  <c r="CY177" i="1"/>
  <c r="CV177" i="1"/>
  <c r="H170" i="5" s="1"/>
  <c r="CD177" i="1"/>
  <c r="CB177" i="1"/>
  <c r="CA177" i="1"/>
  <c r="BY177" i="1"/>
  <c r="BV177" i="1"/>
  <c r="BS177" i="1"/>
  <c r="BQ177" i="1"/>
  <c r="BP177" i="1"/>
  <c r="BL177" i="1"/>
  <c r="BK177" i="1"/>
  <c r="BJ177" i="1"/>
  <c r="BI177" i="1"/>
  <c r="BH177" i="1"/>
  <c r="BG177" i="1"/>
  <c r="BF177" i="1"/>
  <c r="BE177" i="1"/>
  <c r="AE177" i="1"/>
  <c r="AF177" i="1" s="1"/>
  <c r="AC177" i="1"/>
  <c r="U177" i="1"/>
  <c r="R177" i="1"/>
  <c r="Q177" i="1"/>
  <c r="P177" i="1"/>
  <c r="L177" i="1"/>
  <c r="C170" i="5" s="1"/>
  <c r="D177" i="1"/>
  <c r="C177" i="1"/>
  <c r="B177" i="1" s="1"/>
  <c r="A177" i="1"/>
  <c r="DD176" i="1"/>
  <c r="DC176" i="1"/>
  <c r="DB176" i="1"/>
  <c r="DA176" i="1"/>
  <c r="CZ176" i="1"/>
  <c r="CY176" i="1"/>
  <c r="CV176" i="1"/>
  <c r="H169" i="5" s="1"/>
  <c r="CD176" i="1"/>
  <c r="CA176" i="1"/>
  <c r="CB176" i="1" s="1"/>
  <c r="BY176" i="1"/>
  <c r="BS176" i="1"/>
  <c r="BV176" i="1" s="1"/>
  <c r="BQ176" i="1"/>
  <c r="BP176" i="1"/>
  <c r="BL176" i="1"/>
  <c r="BK176" i="1"/>
  <c r="BJ176" i="1"/>
  <c r="BI176" i="1"/>
  <c r="BH176" i="1"/>
  <c r="BG176" i="1"/>
  <c r="BF176" i="1"/>
  <c r="BE176" i="1"/>
  <c r="AL176" i="1"/>
  <c r="AF176" i="1"/>
  <c r="AE176" i="1"/>
  <c r="AC176" i="1"/>
  <c r="V176" i="1"/>
  <c r="U176" i="1"/>
  <c r="BT176" i="1" s="1"/>
  <c r="BW176" i="1" s="1"/>
  <c r="R176" i="1"/>
  <c r="Q176" i="1"/>
  <c r="P176" i="1"/>
  <c r="L176" i="1"/>
  <c r="C169" i="5" s="1"/>
  <c r="D176" i="1"/>
  <c r="C176" i="1"/>
  <c r="B176" i="1"/>
  <c r="A176" i="1"/>
  <c r="DD175" i="1"/>
  <c r="CY175" i="1"/>
  <c r="CV175" i="1"/>
  <c r="H168" i="5" s="1"/>
  <c r="CD175" i="1"/>
  <c r="CA175" i="1"/>
  <c r="CB175" i="1" s="1"/>
  <c r="BY175" i="1"/>
  <c r="BT175" i="1"/>
  <c r="BW175" i="1" s="1"/>
  <c r="BS175" i="1"/>
  <c r="BV175" i="1" s="1"/>
  <c r="BQ175" i="1"/>
  <c r="BP175" i="1"/>
  <c r="BL175" i="1"/>
  <c r="BK175" i="1"/>
  <c r="BJ175" i="1"/>
  <c r="BI175" i="1"/>
  <c r="BH175" i="1"/>
  <c r="BG175" i="1"/>
  <c r="BF175" i="1"/>
  <c r="BE175" i="1"/>
  <c r="AE175" i="1"/>
  <c r="AF175" i="1" s="1"/>
  <c r="AC175" i="1"/>
  <c r="U175" i="1"/>
  <c r="R175" i="1"/>
  <c r="Q175" i="1"/>
  <c r="P175" i="1"/>
  <c r="L175" i="1"/>
  <c r="C168" i="5" s="1"/>
  <c r="D175" i="1"/>
  <c r="C175" i="1"/>
  <c r="A175" i="1"/>
  <c r="DD174" i="1"/>
  <c r="DB174" i="1" s="1"/>
  <c r="DC174" i="1"/>
  <c r="DA174" i="1"/>
  <c r="CZ174" i="1"/>
  <c r="CY174" i="1"/>
  <c r="CV174" i="1"/>
  <c r="H167" i="5" s="1"/>
  <c r="CD174" i="1"/>
  <c r="CB174" i="1"/>
  <c r="CA174" i="1"/>
  <c r="BY174" i="1"/>
  <c r="BS174" i="1"/>
  <c r="BV174" i="1" s="1"/>
  <c r="BQ174" i="1"/>
  <c r="BP174" i="1"/>
  <c r="BL174" i="1"/>
  <c r="BK174" i="1"/>
  <c r="BJ174" i="1"/>
  <c r="BI174" i="1"/>
  <c r="BH174" i="1"/>
  <c r="BG174" i="1"/>
  <c r="BF174" i="1"/>
  <c r="BE174" i="1"/>
  <c r="AF174" i="1"/>
  <c r="AE174" i="1"/>
  <c r="AC174" i="1"/>
  <c r="W174" i="1"/>
  <c r="X174" i="1" s="1"/>
  <c r="V174" i="1"/>
  <c r="U174" i="1"/>
  <c r="R174" i="1"/>
  <c r="Q174" i="1"/>
  <c r="P174" i="1"/>
  <c r="L174" i="1"/>
  <c r="C167" i="5" s="1"/>
  <c r="D174" i="1"/>
  <c r="C174" i="1"/>
  <c r="B174" i="1" s="1"/>
  <c r="A174" i="1"/>
  <c r="DD173" i="1"/>
  <c r="DB173" i="1"/>
  <c r="CY173" i="1"/>
  <c r="CV173" i="1"/>
  <c r="H166" i="5" s="1"/>
  <c r="CD173" i="1"/>
  <c r="CA173" i="1"/>
  <c r="CB173" i="1" s="1"/>
  <c r="BY173" i="1"/>
  <c r="BS173" i="1"/>
  <c r="BV173" i="1" s="1"/>
  <c r="BQ173" i="1"/>
  <c r="BP173" i="1"/>
  <c r="BL173" i="1"/>
  <c r="BK173" i="1"/>
  <c r="BJ173" i="1"/>
  <c r="BI173" i="1"/>
  <c r="BH173" i="1"/>
  <c r="BG173" i="1"/>
  <c r="BF173" i="1"/>
  <c r="BE173" i="1"/>
  <c r="AO173" i="1"/>
  <c r="AN173" i="1"/>
  <c r="AQ173" i="1" s="1"/>
  <c r="AP173" i="1" s="1"/>
  <c r="AL173" i="1"/>
  <c r="AF173" i="1"/>
  <c r="AE173" i="1"/>
  <c r="AC173" i="1"/>
  <c r="V173" i="1"/>
  <c r="U173" i="1"/>
  <c r="BT173" i="1" s="1"/>
  <c r="BW173" i="1" s="1"/>
  <c r="R173" i="1"/>
  <c r="Q173" i="1"/>
  <c r="W173" i="1" s="1"/>
  <c r="X173" i="1" s="1"/>
  <c r="CX173" i="1" s="1"/>
  <c r="P173" i="1"/>
  <c r="L173" i="1"/>
  <c r="C166" i="5" s="1"/>
  <c r="D173" i="1"/>
  <c r="C173" i="1"/>
  <c r="B173" i="1"/>
  <c r="A173" i="1"/>
  <c r="DD172" i="1"/>
  <c r="DC172" i="1"/>
  <c r="DA172" i="1"/>
  <c r="CY172" i="1"/>
  <c r="CV172" i="1"/>
  <c r="H165" i="5" s="1"/>
  <c r="CD172" i="1"/>
  <c r="CB172" i="1"/>
  <c r="CA172" i="1"/>
  <c r="BY172" i="1"/>
  <c r="BT172" i="1"/>
  <c r="BW172" i="1" s="1"/>
  <c r="BS172" i="1"/>
  <c r="BV172" i="1" s="1"/>
  <c r="BQ172" i="1"/>
  <c r="BP172" i="1"/>
  <c r="BL172" i="1"/>
  <c r="BK172" i="1"/>
  <c r="BJ172" i="1"/>
  <c r="BI172" i="1"/>
  <c r="BH172" i="1"/>
  <c r="BG172" i="1"/>
  <c r="BF172" i="1"/>
  <c r="BE172" i="1"/>
  <c r="AE172" i="1"/>
  <c r="AF172" i="1" s="1"/>
  <c r="AC172" i="1"/>
  <c r="U172" i="1"/>
  <c r="R172" i="1"/>
  <c r="Q172" i="1"/>
  <c r="W172" i="1" s="1"/>
  <c r="X172" i="1" s="1"/>
  <c r="P172" i="1"/>
  <c r="L172" i="1"/>
  <c r="C165" i="5" s="1"/>
  <c r="D172" i="1"/>
  <c r="B172" i="1" s="1"/>
  <c r="C172" i="1"/>
  <c r="A172" i="1"/>
  <c r="DD171" i="1"/>
  <c r="DA171" i="1" s="1"/>
  <c r="DC171" i="1"/>
  <c r="DB171" i="1"/>
  <c r="CZ171" i="1"/>
  <c r="CY171" i="1"/>
  <c r="CV171" i="1"/>
  <c r="H164" i="5" s="1"/>
  <c r="CD171" i="1"/>
  <c r="CA171" i="1"/>
  <c r="CB171" i="1" s="1"/>
  <c r="BY171" i="1"/>
  <c r="BS171" i="1"/>
  <c r="BV171" i="1" s="1"/>
  <c r="BQ171" i="1"/>
  <c r="BP171" i="1"/>
  <c r="BL171" i="1"/>
  <c r="BK171" i="1"/>
  <c r="BJ171" i="1"/>
  <c r="BI171" i="1"/>
  <c r="BH171" i="1"/>
  <c r="BG171" i="1"/>
  <c r="BF171" i="1"/>
  <c r="BE171" i="1"/>
  <c r="AN171" i="1"/>
  <c r="AQ171" i="1" s="1"/>
  <c r="AP171" i="1" s="1"/>
  <c r="AL171" i="1"/>
  <c r="AJ171" i="1"/>
  <c r="AE171" i="1"/>
  <c r="AF171" i="1" s="1"/>
  <c r="AC171" i="1"/>
  <c r="U171" i="1"/>
  <c r="R171" i="1"/>
  <c r="Q171" i="1"/>
  <c r="W171" i="1" s="1"/>
  <c r="X171" i="1" s="1"/>
  <c r="CX171" i="1" s="1"/>
  <c r="P171" i="1"/>
  <c r="L171" i="1"/>
  <c r="C164" i="5" s="1"/>
  <c r="D171" i="1"/>
  <c r="C171" i="1"/>
  <c r="B171" i="1" s="1"/>
  <c r="A171" i="1"/>
  <c r="DD170" i="1"/>
  <c r="CZ170" i="1" s="1"/>
  <c r="DC170" i="1"/>
  <c r="DB170" i="1"/>
  <c r="DA170" i="1"/>
  <c r="CY170" i="1"/>
  <c r="CV170" i="1"/>
  <c r="H163" i="5" s="1"/>
  <c r="CD170" i="1"/>
  <c r="CA170" i="1"/>
  <c r="CB170" i="1" s="1"/>
  <c r="BY170" i="1"/>
  <c r="BV170" i="1"/>
  <c r="BS170" i="1"/>
  <c r="BQ170" i="1"/>
  <c r="BP170" i="1"/>
  <c r="BL170" i="1"/>
  <c r="BK170" i="1"/>
  <c r="BJ170" i="1"/>
  <c r="BI170" i="1"/>
  <c r="BH170" i="1"/>
  <c r="BG170" i="1"/>
  <c r="BF170" i="1"/>
  <c r="BE170" i="1"/>
  <c r="AQ170" i="1"/>
  <c r="AN170" i="1"/>
  <c r="AO170" i="1" s="1"/>
  <c r="AL170" i="1"/>
  <c r="AJ170" i="1" s="1"/>
  <c r="AK170" i="1"/>
  <c r="AF170" i="1"/>
  <c r="AE170" i="1"/>
  <c r="AC170" i="1"/>
  <c r="V170" i="1"/>
  <c r="U170" i="1"/>
  <c r="BT170" i="1" s="1"/>
  <c r="BW170" i="1" s="1"/>
  <c r="R170" i="1"/>
  <c r="Q170" i="1"/>
  <c r="W170" i="1" s="1"/>
  <c r="X170" i="1" s="1"/>
  <c r="P170" i="1"/>
  <c r="L170" i="1"/>
  <c r="C163" i="5" s="1"/>
  <c r="D170" i="1"/>
  <c r="C170" i="1"/>
  <c r="B170" i="1"/>
  <c r="A170" i="1"/>
  <c r="DD169" i="1"/>
  <c r="DC169" i="1"/>
  <c r="DB169" i="1"/>
  <c r="DA169" i="1"/>
  <c r="CZ169" i="1"/>
  <c r="CY169" i="1"/>
  <c r="CV169" i="1"/>
  <c r="H162" i="5" s="1"/>
  <c r="CD169" i="1"/>
  <c r="CA169" i="1"/>
  <c r="CB169" i="1" s="1"/>
  <c r="BY169" i="1"/>
  <c r="BV169" i="1"/>
  <c r="BT169" i="1"/>
  <c r="BW169" i="1" s="1"/>
  <c r="BS169" i="1"/>
  <c r="BQ169" i="1"/>
  <c r="BP169" i="1"/>
  <c r="BL169" i="1"/>
  <c r="BK169" i="1"/>
  <c r="BJ169" i="1"/>
  <c r="BI169" i="1"/>
  <c r="BH169" i="1"/>
  <c r="BG169" i="1"/>
  <c r="BF169" i="1"/>
  <c r="BE169" i="1"/>
  <c r="AE169" i="1"/>
  <c r="AF169" i="1" s="1"/>
  <c r="AC169" i="1"/>
  <c r="U169" i="1"/>
  <c r="R169" i="1"/>
  <c r="Q169" i="1"/>
  <c r="P169" i="1"/>
  <c r="L169" i="1"/>
  <c r="C162" i="5" s="1"/>
  <c r="D169" i="1"/>
  <c r="C169" i="1"/>
  <c r="A169" i="1"/>
  <c r="DD168" i="1"/>
  <c r="DC168" i="1"/>
  <c r="DB168" i="1"/>
  <c r="DA168" i="1"/>
  <c r="CZ168" i="1"/>
  <c r="CY168" i="1"/>
  <c r="CV168" i="1"/>
  <c r="H161" i="5" s="1"/>
  <c r="CD168" i="1"/>
  <c r="CA168" i="1"/>
  <c r="CB168" i="1" s="1"/>
  <c r="BY168" i="1"/>
  <c r="BS168" i="1"/>
  <c r="BV168" i="1" s="1"/>
  <c r="BQ168" i="1"/>
  <c r="BP168" i="1"/>
  <c r="BL168" i="1"/>
  <c r="BK168" i="1"/>
  <c r="BJ168" i="1"/>
  <c r="BI168" i="1"/>
  <c r="BH168" i="1"/>
  <c r="BG168" i="1"/>
  <c r="BF168" i="1"/>
  <c r="BE168" i="1"/>
  <c r="AL168" i="1"/>
  <c r="AJ168" i="1" s="1"/>
  <c r="AF168" i="1"/>
  <c r="AE168" i="1"/>
  <c r="AC168" i="1"/>
  <c r="W168" i="1"/>
  <c r="X168" i="1" s="1"/>
  <c r="V168" i="1"/>
  <c r="U168" i="1"/>
  <c r="BT168" i="1" s="1"/>
  <c r="BW168" i="1" s="1"/>
  <c r="R168" i="1"/>
  <c r="Q168" i="1"/>
  <c r="P168" i="1"/>
  <c r="L168" i="1"/>
  <c r="C161" i="5" s="1"/>
  <c r="D168" i="1"/>
  <c r="C168" i="1"/>
  <c r="B168" i="1" s="1"/>
  <c r="A168" i="1"/>
  <c r="DD167" i="1"/>
  <c r="DA167" i="1"/>
  <c r="CZ167" i="1"/>
  <c r="CY167" i="1"/>
  <c r="CV167" i="1"/>
  <c r="H160" i="5" s="1"/>
  <c r="CD167" i="1"/>
  <c r="CA167" i="1"/>
  <c r="CB167" i="1" s="1"/>
  <c r="BY167" i="1"/>
  <c r="BW167" i="1"/>
  <c r="BV167" i="1"/>
  <c r="BS167" i="1"/>
  <c r="BQ167" i="1"/>
  <c r="BP167" i="1"/>
  <c r="BL167" i="1"/>
  <c r="BK167" i="1"/>
  <c r="BJ167" i="1"/>
  <c r="BI167" i="1"/>
  <c r="BH167" i="1"/>
  <c r="BG167" i="1"/>
  <c r="BF167" i="1"/>
  <c r="BE167" i="1"/>
  <c r="AE167" i="1"/>
  <c r="AF167" i="1" s="1"/>
  <c r="AC167" i="1"/>
  <c r="U167" i="1"/>
  <c r="BT167" i="1" s="1"/>
  <c r="R167" i="1"/>
  <c r="Q167" i="1"/>
  <c r="W167" i="1" s="1"/>
  <c r="X167" i="1" s="1"/>
  <c r="CX167" i="1" s="1"/>
  <c r="P167" i="1"/>
  <c r="L167" i="1"/>
  <c r="C160" i="5" s="1"/>
  <c r="D167" i="1"/>
  <c r="C167" i="1"/>
  <c r="B167" i="1"/>
  <c r="A167" i="1"/>
  <c r="DD166" i="1"/>
  <c r="DB166" i="1" s="1"/>
  <c r="DC166" i="1"/>
  <c r="DA166" i="1"/>
  <c r="CZ166" i="1"/>
  <c r="CY166" i="1"/>
  <c r="CV166" i="1"/>
  <c r="H159" i="5" s="1"/>
  <c r="CD166" i="1"/>
  <c r="CA166" i="1"/>
  <c r="BY166" i="1"/>
  <c r="BS166" i="1"/>
  <c r="BV166" i="1" s="1"/>
  <c r="BQ166" i="1"/>
  <c r="BP166" i="1"/>
  <c r="BL166" i="1"/>
  <c r="BK166" i="1"/>
  <c r="BJ166" i="1"/>
  <c r="BI166" i="1"/>
  <c r="BH166" i="1"/>
  <c r="BG166" i="1"/>
  <c r="BF166" i="1"/>
  <c r="BE166" i="1"/>
  <c r="AE166" i="1"/>
  <c r="AF166" i="1" s="1"/>
  <c r="AC166" i="1"/>
  <c r="U166" i="1"/>
  <c r="R166" i="1"/>
  <c r="Q166" i="1"/>
  <c r="W166" i="1" s="1"/>
  <c r="X166" i="1" s="1"/>
  <c r="P166" i="1"/>
  <c r="L166" i="1"/>
  <c r="C159" i="5" s="1"/>
  <c r="D166" i="1"/>
  <c r="B166" i="1" s="1"/>
  <c r="C166" i="1"/>
  <c r="A166" i="1"/>
  <c r="DD165" i="1"/>
  <c r="DC165" i="1" s="1"/>
  <c r="CY165" i="1"/>
  <c r="CV165" i="1"/>
  <c r="H158" i="5" s="1"/>
  <c r="CD165" i="1"/>
  <c r="CB165" i="1"/>
  <c r="CA165" i="1"/>
  <c r="BY165" i="1"/>
  <c r="BV165" i="1"/>
  <c r="BS165" i="1"/>
  <c r="BQ165" i="1"/>
  <c r="BP165" i="1"/>
  <c r="BL165" i="1"/>
  <c r="BK165" i="1"/>
  <c r="BJ165" i="1"/>
  <c r="BI165" i="1"/>
  <c r="BH165" i="1"/>
  <c r="BG165" i="1"/>
  <c r="BF165" i="1"/>
  <c r="BE165" i="1"/>
  <c r="AL165" i="1"/>
  <c r="AK165" i="1"/>
  <c r="AJ165" i="1"/>
  <c r="AE165" i="1"/>
  <c r="AF165" i="1" s="1"/>
  <c r="AC165" i="1"/>
  <c r="W165" i="1"/>
  <c r="X165" i="1" s="1"/>
  <c r="U165" i="1"/>
  <c r="V165" i="1" s="1"/>
  <c r="R165" i="1"/>
  <c r="Q165" i="1"/>
  <c r="P165" i="1"/>
  <c r="L165" i="1"/>
  <c r="C158" i="5" s="1"/>
  <c r="D165" i="1"/>
  <c r="C165" i="1"/>
  <c r="B165" i="1" s="1"/>
  <c r="A165" i="1"/>
  <c r="DD164" i="1"/>
  <c r="DC164" i="1" s="1"/>
  <c r="DA164" i="1"/>
  <c r="CZ164" i="1"/>
  <c r="CY164" i="1"/>
  <c r="CV164" i="1"/>
  <c r="H157" i="5" s="1"/>
  <c r="CD164" i="1"/>
  <c r="CA164" i="1"/>
  <c r="CB164" i="1" s="1"/>
  <c r="BY164" i="1"/>
  <c r="BV164" i="1"/>
  <c r="BS164" i="1"/>
  <c r="BQ164" i="1"/>
  <c r="BP164" i="1"/>
  <c r="BL164" i="1"/>
  <c r="BK164" i="1"/>
  <c r="BJ164" i="1"/>
  <c r="BI164" i="1"/>
  <c r="BH164" i="1"/>
  <c r="BG164" i="1"/>
  <c r="BF164" i="1"/>
  <c r="BE164" i="1"/>
  <c r="AY164" i="1"/>
  <c r="AZ164" i="1" s="1"/>
  <c r="AQ164" i="1"/>
  <c r="AN164" i="1"/>
  <c r="AO164" i="1" s="1"/>
  <c r="AL164" i="1"/>
  <c r="AJ164" i="1"/>
  <c r="AF164" i="1"/>
  <c r="AE164" i="1"/>
  <c r="AC164" i="1"/>
  <c r="W164" i="1"/>
  <c r="X164" i="1" s="1"/>
  <c r="V164" i="1"/>
  <c r="U164" i="1"/>
  <c r="BT164" i="1" s="1"/>
  <c r="BW164" i="1" s="1"/>
  <c r="R164" i="1"/>
  <c r="Q164" i="1"/>
  <c r="P164" i="1"/>
  <c r="L164" i="1"/>
  <c r="C157" i="5" s="1"/>
  <c r="D164" i="1"/>
  <c r="C164" i="1"/>
  <c r="B164" i="1" s="1"/>
  <c r="A164" i="1"/>
  <c r="DD163" i="1"/>
  <c r="DB163" i="1" s="1"/>
  <c r="DC163" i="1"/>
  <c r="DA163" i="1"/>
  <c r="CZ163" i="1"/>
  <c r="CY163" i="1"/>
  <c r="CV163" i="1"/>
  <c r="H156" i="5" s="1"/>
  <c r="CD163" i="1"/>
  <c r="CB163" i="1"/>
  <c r="CA163" i="1"/>
  <c r="BY163" i="1"/>
  <c r="BV163" i="1"/>
  <c r="BT163" i="1"/>
  <c r="BW163" i="1" s="1"/>
  <c r="BS163" i="1"/>
  <c r="BQ163" i="1"/>
  <c r="BP163" i="1"/>
  <c r="BL163" i="1"/>
  <c r="BK163" i="1"/>
  <c r="BJ163" i="1"/>
  <c r="BI163" i="1"/>
  <c r="BH163" i="1"/>
  <c r="BG163" i="1"/>
  <c r="BF163" i="1"/>
  <c r="BE163" i="1"/>
  <c r="AE163" i="1"/>
  <c r="AF163" i="1" s="1"/>
  <c r="AC163" i="1"/>
  <c r="U163" i="1"/>
  <c r="R163" i="1"/>
  <c r="Q163" i="1"/>
  <c r="P163" i="1"/>
  <c r="L163" i="1"/>
  <c r="C156" i="5" s="1"/>
  <c r="D163" i="1"/>
  <c r="C163" i="1"/>
  <c r="B163" i="1"/>
  <c r="A163" i="1"/>
  <c r="DD162" i="1"/>
  <c r="DC162" i="1"/>
  <c r="DB162" i="1"/>
  <c r="DA162" i="1"/>
  <c r="CZ162" i="1"/>
  <c r="CY162" i="1"/>
  <c r="CV162" i="1"/>
  <c r="H155" i="5" s="1"/>
  <c r="CD162" i="1"/>
  <c r="CA162" i="1"/>
  <c r="BY162" i="1"/>
  <c r="BT162" i="1"/>
  <c r="BW162" i="1" s="1"/>
  <c r="BS162" i="1"/>
  <c r="BV162" i="1" s="1"/>
  <c r="BQ162" i="1"/>
  <c r="BP162" i="1"/>
  <c r="BL162" i="1"/>
  <c r="BK162" i="1"/>
  <c r="BJ162" i="1"/>
  <c r="BI162" i="1"/>
  <c r="BH162" i="1"/>
  <c r="BG162" i="1"/>
  <c r="BF162" i="1"/>
  <c r="BE162" i="1"/>
  <c r="AE162" i="1"/>
  <c r="AF162" i="1" s="1"/>
  <c r="AC162" i="1"/>
  <c r="U162" i="1"/>
  <c r="R162" i="1"/>
  <c r="Q162" i="1"/>
  <c r="P162" i="1"/>
  <c r="L162" i="1"/>
  <c r="C155" i="5" s="1"/>
  <c r="D162" i="1"/>
  <c r="C162" i="1"/>
  <c r="B162" i="1" s="1"/>
  <c r="A162" i="1"/>
  <c r="DD161" i="1"/>
  <c r="CY161" i="1"/>
  <c r="CV161" i="1"/>
  <c r="H154" i="5" s="1"/>
  <c r="CD161" i="1"/>
  <c r="CA161" i="1"/>
  <c r="CB161" i="1" s="1"/>
  <c r="BY161" i="1"/>
  <c r="BS161" i="1"/>
  <c r="BV161" i="1" s="1"/>
  <c r="BQ161" i="1"/>
  <c r="BP161" i="1"/>
  <c r="BL161" i="1"/>
  <c r="BK161" i="1"/>
  <c r="BJ161" i="1"/>
  <c r="BI161" i="1"/>
  <c r="BH161" i="1"/>
  <c r="BG161" i="1"/>
  <c r="BF161" i="1"/>
  <c r="BE161" i="1"/>
  <c r="AE161" i="1"/>
  <c r="AF161" i="1" s="1"/>
  <c r="AC161" i="1"/>
  <c r="U161" i="1"/>
  <c r="R161" i="1"/>
  <c r="Q161" i="1"/>
  <c r="W161" i="1" s="1"/>
  <c r="X161" i="1" s="1"/>
  <c r="P161" i="1"/>
  <c r="L161" i="1"/>
  <c r="C154" i="5" s="1"/>
  <c r="D161" i="1"/>
  <c r="B161" i="1" s="1"/>
  <c r="C161" i="1"/>
  <c r="A161" i="1"/>
  <c r="DD160" i="1"/>
  <c r="DC160" i="1"/>
  <c r="CY160" i="1"/>
  <c r="CV160" i="1"/>
  <c r="H153" i="5" s="1"/>
  <c r="CD160" i="1"/>
  <c r="CB160" i="1"/>
  <c r="CA160" i="1"/>
  <c r="BY160" i="1"/>
  <c r="BS160" i="1"/>
  <c r="BV160" i="1" s="1"/>
  <c r="BQ160" i="1"/>
  <c r="BP160" i="1"/>
  <c r="BL160" i="1"/>
  <c r="BK160" i="1"/>
  <c r="BJ160" i="1"/>
  <c r="BI160" i="1"/>
  <c r="BH160" i="1"/>
  <c r="BG160" i="1"/>
  <c r="BF160" i="1"/>
  <c r="BE160" i="1"/>
  <c r="AE160" i="1"/>
  <c r="AF160" i="1" s="1"/>
  <c r="AC160" i="1"/>
  <c r="U160" i="1"/>
  <c r="R160" i="1"/>
  <c r="Q160" i="1"/>
  <c r="W160" i="1" s="1"/>
  <c r="X160" i="1" s="1"/>
  <c r="P160" i="1"/>
  <c r="L160" i="1"/>
  <c r="C153" i="5" s="1"/>
  <c r="D160" i="1"/>
  <c r="C160" i="1"/>
  <c r="B160" i="1" s="1"/>
  <c r="A160" i="1"/>
  <c r="DD159" i="1"/>
  <c r="DA159" i="1" s="1"/>
  <c r="DC159" i="1"/>
  <c r="DB159" i="1"/>
  <c r="CY159" i="1"/>
  <c r="CV159" i="1"/>
  <c r="H152" i="5" s="1"/>
  <c r="CD159" i="1"/>
  <c r="CA159" i="1"/>
  <c r="CB159" i="1" s="1"/>
  <c r="BY159" i="1"/>
  <c r="BV159" i="1"/>
  <c r="BS159" i="1"/>
  <c r="BQ159" i="1"/>
  <c r="BP159" i="1"/>
  <c r="BL159" i="1"/>
  <c r="BK159" i="1"/>
  <c r="BJ159" i="1"/>
  <c r="BI159" i="1"/>
  <c r="BH159" i="1"/>
  <c r="BG159" i="1"/>
  <c r="BF159" i="1"/>
  <c r="BE159" i="1"/>
  <c r="AL159" i="1"/>
  <c r="AF159" i="1"/>
  <c r="AE159" i="1"/>
  <c r="AC159" i="1"/>
  <c r="Y159" i="1"/>
  <c r="AA159" i="1" s="1"/>
  <c r="U159" i="1"/>
  <c r="BT159" i="1" s="1"/>
  <c r="BW159" i="1" s="1"/>
  <c r="R159" i="1"/>
  <c r="Q159" i="1"/>
  <c r="W159" i="1" s="1"/>
  <c r="X159" i="1" s="1"/>
  <c r="CX159" i="1" s="1"/>
  <c r="P159" i="1"/>
  <c r="L159" i="1"/>
  <c r="C152" i="5" s="1"/>
  <c r="D159" i="1"/>
  <c r="C159" i="1"/>
  <c r="B159" i="1"/>
  <c r="A159" i="1"/>
  <c r="DD158" i="1"/>
  <c r="CZ158" i="1" s="1"/>
  <c r="DC158" i="1"/>
  <c r="DB158" i="1"/>
  <c r="DA158" i="1"/>
  <c r="CY158" i="1"/>
  <c r="CV158" i="1"/>
  <c r="H151" i="5" s="1"/>
  <c r="CD158" i="1"/>
  <c r="CA158" i="1"/>
  <c r="CB158" i="1" s="1"/>
  <c r="BY158" i="1"/>
  <c r="BV158" i="1"/>
  <c r="BS158" i="1"/>
  <c r="BQ158" i="1"/>
  <c r="BP158" i="1"/>
  <c r="BL158" i="1"/>
  <c r="BK158" i="1"/>
  <c r="BJ158" i="1"/>
  <c r="BI158" i="1"/>
  <c r="BH158" i="1"/>
  <c r="BG158" i="1"/>
  <c r="BF158" i="1"/>
  <c r="BE158" i="1"/>
  <c r="AL158" i="1"/>
  <c r="AE158" i="1"/>
  <c r="AF158" i="1" s="1"/>
  <c r="AC158" i="1"/>
  <c r="X158" i="1"/>
  <c r="CX158" i="1" s="1"/>
  <c r="U158" i="1"/>
  <c r="V158" i="1" s="1"/>
  <c r="R158" i="1"/>
  <c r="Q158" i="1"/>
  <c r="W158" i="1" s="1"/>
  <c r="P158" i="1"/>
  <c r="L158" i="1"/>
  <c r="C151" i="5" s="1"/>
  <c r="D158" i="1"/>
  <c r="B158" i="1" s="1"/>
  <c r="C158" i="1"/>
  <c r="A158" i="1"/>
  <c r="DD157" i="1"/>
  <c r="DC157" i="1"/>
  <c r="DB157" i="1"/>
  <c r="DA157" i="1"/>
  <c r="CZ157" i="1"/>
  <c r="CY157" i="1"/>
  <c r="CV157" i="1"/>
  <c r="H150" i="5" s="1"/>
  <c r="CD157" i="1"/>
  <c r="CA157" i="1"/>
  <c r="CB157" i="1" s="1"/>
  <c r="BY157" i="1"/>
  <c r="BS157" i="1"/>
  <c r="BV157" i="1" s="1"/>
  <c r="BQ157" i="1"/>
  <c r="BP157" i="1"/>
  <c r="BL157" i="1"/>
  <c r="BK157" i="1"/>
  <c r="BJ157" i="1"/>
  <c r="BI157" i="1"/>
  <c r="BH157" i="1"/>
  <c r="BG157" i="1"/>
  <c r="BF157" i="1"/>
  <c r="BE157" i="1"/>
  <c r="AL157" i="1"/>
  <c r="AJ157" i="1"/>
  <c r="AE157" i="1"/>
  <c r="AF157" i="1" s="1"/>
  <c r="AC157" i="1"/>
  <c r="W157" i="1"/>
  <c r="X157" i="1" s="1"/>
  <c r="U157" i="1"/>
  <c r="V157" i="1" s="1"/>
  <c r="R157" i="1"/>
  <c r="Q157" i="1"/>
  <c r="P157" i="1"/>
  <c r="L157" i="1"/>
  <c r="C150" i="5" s="1"/>
  <c r="D157" i="1"/>
  <c r="C157" i="1"/>
  <c r="B157" i="1" s="1"/>
  <c r="A157" i="1"/>
  <c r="DD156" i="1"/>
  <c r="DC156" i="1" s="1"/>
  <c r="DB156" i="1"/>
  <c r="DA156" i="1"/>
  <c r="CZ156" i="1"/>
  <c r="CY156" i="1"/>
  <c r="CV156" i="1"/>
  <c r="H149" i="5" s="1"/>
  <c r="CD156" i="1"/>
  <c r="CA156" i="1"/>
  <c r="CB156" i="1" s="1"/>
  <c r="BY156" i="1"/>
  <c r="BV156" i="1"/>
  <c r="BS156" i="1"/>
  <c r="BQ156" i="1"/>
  <c r="BP156" i="1"/>
  <c r="BL156" i="1"/>
  <c r="BK156" i="1"/>
  <c r="BJ156" i="1"/>
  <c r="BI156" i="1"/>
  <c r="BH156" i="1"/>
  <c r="BG156" i="1"/>
  <c r="BF156" i="1"/>
  <c r="BE156" i="1"/>
  <c r="AL156" i="1"/>
  <c r="AN156" i="1" s="1"/>
  <c r="AO156" i="1" s="1"/>
  <c r="AJ156" i="1"/>
  <c r="AF156" i="1"/>
  <c r="AE156" i="1"/>
  <c r="AC156" i="1"/>
  <c r="W156" i="1"/>
  <c r="X156" i="1" s="1"/>
  <c r="V156" i="1"/>
  <c r="U156" i="1"/>
  <c r="BT156" i="1" s="1"/>
  <c r="BW156" i="1" s="1"/>
  <c r="R156" i="1"/>
  <c r="Q156" i="1"/>
  <c r="P156" i="1"/>
  <c r="L156" i="1"/>
  <c r="C149" i="5" s="1"/>
  <c r="D156" i="1"/>
  <c r="C156" i="1"/>
  <c r="B156" i="1" s="1"/>
  <c r="A156" i="1"/>
  <c r="DD155" i="1"/>
  <c r="DB155" i="1" s="1"/>
  <c r="DC155" i="1"/>
  <c r="DA155" i="1"/>
  <c r="CZ155" i="1"/>
  <c r="CY155" i="1"/>
  <c r="CV155" i="1"/>
  <c r="H148" i="5" s="1"/>
  <c r="CD155" i="1"/>
  <c r="CB155" i="1"/>
  <c r="CA155" i="1"/>
  <c r="BY155" i="1"/>
  <c r="BV155" i="1"/>
  <c r="BS155" i="1"/>
  <c r="BQ155" i="1"/>
  <c r="BP155" i="1"/>
  <c r="BL155" i="1"/>
  <c r="BK155" i="1"/>
  <c r="BJ155" i="1"/>
  <c r="BI155" i="1"/>
  <c r="BH155" i="1"/>
  <c r="BG155" i="1"/>
  <c r="BF155" i="1"/>
  <c r="BE155" i="1"/>
  <c r="AE155" i="1"/>
  <c r="AF155" i="1" s="1"/>
  <c r="AC155" i="1"/>
  <c r="U155" i="1"/>
  <c r="R155" i="1"/>
  <c r="Q155" i="1"/>
  <c r="P155" i="1"/>
  <c r="L155" i="1"/>
  <c r="C148" i="5" s="1"/>
  <c r="D155" i="1"/>
  <c r="B155" i="1" s="1"/>
  <c r="C155" i="1"/>
  <c r="A155" i="1"/>
  <c r="DD154" i="1"/>
  <c r="DC154" i="1"/>
  <c r="DB154" i="1"/>
  <c r="DA154" i="1"/>
  <c r="CZ154" i="1"/>
  <c r="CY154" i="1"/>
  <c r="CX154" i="1"/>
  <c r="CV154" i="1"/>
  <c r="H147" i="5" s="1"/>
  <c r="CD154" i="1"/>
  <c r="CA154" i="1"/>
  <c r="CB154" i="1" s="1"/>
  <c r="BY154" i="1"/>
  <c r="BT154" i="1"/>
  <c r="BW154" i="1" s="1"/>
  <c r="BS154" i="1"/>
  <c r="BV154" i="1" s="1"/>
  <c r="BQ154" i="1"/>
  <c r="BP154" i="1"/>
  <c r="BL154" i="1"/>
  <c r="BK154" i="1"/>
  <c r="BJ154" i="1"/>
  <c r="BI154" i="1"/>
  <c r="BH154" i="1"/>
  <c r="BG154" i="1"/>
  <c r="BF154" i="1"/>
  <c r="BE154" i="1"/>
  <c r="AE154" i="1"/>
  <c r="AF154" i="1" s="1"/>
  <c r="AC154" i="1"/>
  <c r="W154" i="1"/>
  <c r="X154" i="1" s="1"/>
  <c r="Y154" i="1" s="1"/>
  <c r="U154" i="1"/>
  <c r="R154" i="1"/>
  <c r="Q154" i="1"/>
  <c r="P154" i="1"/>
  <c r="L154" i="1"/>
  <c r="C147" i="5" s="1"/>
  <c r="D154" i="1"/>
  <c r="C154" i="1"/>
  <c r="B154" i="1" s="1"/>
  <c r="A154" i="1"/>
  <c r="DD153" i="1"/>
  <c r="CY153" i="1"/>
  <c r="CV153" i="1"/>
  <c r="H146" i="5" s="1"/>
  <c r="CD153" i="1"/>
  <c r="CA153" i="1"/>
  <c r="CB153" i="1" s="1"/>
  <c r="BY153" i="1"/>
  <c r="BV153" i="1"/>
  <c r="BS153" i="1"/>
  <c r="BQ153" i="1"/>
  <c r="BP153" i="1"/>
  <c r="BL153" i="1"/>
  <c r="BK153" i="1"/>
  <c r="BJ153" i="1"/>
  <c r="BI153" i="1"/>
  <c r="BH153" i="1"/>
  <c r="BG153" i="1"/>
  <c r="BF153" i="1"/>
  <c r="BE153" i="1"/>
  <c r="AF153" i="1"/>
  <c r="AE153" i="1"/>
  <c r="AC153" i="1"/>
  <c r="V153" i="1"/>
  <c r="U153" i="1"/>
  <c r="R153" i="1"/>
  <c r="Q153" i="1"/>
  <c r="W153" i="1" s="1"/>
  <c r="X153" i="1" s="1"/>
  <c r="P153" i="1"/>
  <c r="L153" i="1"/>
  <c r="C146" i="5" s="1"/>
  <c r="D153" i="1"/>
  <c r="C153" i="1"/>
  <c r="B153" i="1"/>
  <c r="A153" i="1"/>
  <c r="DD152" i="1"/>
  <c r="DC152" i="1" s="1"/>
  <c r="CY152" i="1"/>
  <c r="CV152" i="1"/>
  <c r="H145" i="5" s="1"/>
  <c r="CD152" i="1"/>
  <c r="CB152" i="1"/>
  <c r="CA152" i="1"/>
  <c r="BY152" i="1"/>
  <c r="BS152" i="1"/>
  <c r="BV152" i="1" s="1"/>
  <c r="BQ152" i="1"/>
  <c r="BP152" i="1"/>
  <c r="BL152" i="1"/>
  <c r="BK152" i="1"/>
  <c r="BJ152" i="1"/>
  <c r="BI152" i="1"/>
  <c r="BH152" i="1"/>
  <c r="BG152" i="1"/>
  <c r="BF152" i="1"/>
  <c r="BE152" i="1"/>
  <c r="AE152" i="1"/>
  <c r="AF152" i="1" s="1"/>
  <c r="AC152" i="1"/>
  <c r="U152" i="1"/>
  <c r="BT152" i="1" s="1"/>
  <c r="BW152" i="1" s="1"/>
  <c r="R152" i="1"/>
  <c r="Q152" i="1"/>
  <c r="P152" i="1"/>
  <c r="L152" i="1"/>
  <c r="C145" i="5" s="1"/>
  <c r="D152" i="1"/>
  <c r="C152" i="1"/>
  <c r="B152" i="1" s="1"/>
  <c r="A152" i="1"/>
  <c r="DD151" i="1"/>
  <c r="DA151" i="1" s="1"/>
  <c r="DC151" i="1"/>
  <c r="DB151" i="1"/>
  <c r="CY151" i="1"/>
  <c r="CV151" i="1"/>
  <c r="H144" i="5" s="1"/>
  <c r="CD151" i="1"/>
  <c r="CB151" i="1"/>
  <c r="CA151" i="1"/>
  <c r="BY151" i="1"/>
  <c r="BW151" i="1"/>
  <c r="BV151" i="1"/>
  <c r="BS151" i="1"/>
  <c r="BQ151" i="1"/>
  <c r="BP151" i="1"/>
  <c r="BL151" i="1"/>
  <c r="BK151" i="1"/>
  <c r="BJ151" i="1"/>
  <c r="BI151" i="1"/>
  <c r="BH151" i="1"/>
  <c r="BG151" i="1"/>
  <c r="BF151" i="1"/>
  <c r="BE151" i="1"/>
  <c r="AL151" i="1"/>
  <c r="AF151" i="1"/>
  <c r="AE151" i="1"/>
  <c r="AC151" i="1"/>
  <c r="Y151" i="1"/>
  <c r="AA151" i="1" s="1"/>
  <c r="U151" i="1"/>
  <c r="BT151" i="1" s="1"/>
  <c r="R151" i="1"/>
  <c r="Q151" i="1"/>
  <c r="W151" i="1" s="1"/>
  <c r="X151" i="1" s="1"/>
  <c r="CX151" i="1" s="1"/>
  <c r="P151" i="1"/>
  <c r="L151" i="1"/>
  <c r="C144" i="5" s="1"/>
  <c r="D151" i="1"/>
  <c r="C151" i="1"/>
  <c r="B151" i="1"/>
  <c r="A151" i="1"/>
  <c r="DD150" i="1"/>
  <c r="DB150" i="1"/>
  <c r="DA150" i="1"/>
  <c r="CY150" i="1"/>
  <c r="CV150" i="1"/>
  <c r="H143" i="5" s="1"/>
  <c r="CD150" i="1"/>
  <c r="CA150" i="1"/>
  <c r="CB150" i="1" s="1"/>
  <c r="BY150" i="1"/>
  <c r="BW150" i="1"/>
  <c r="BV150" i="1"/>
  <c r="BS150" i="1"/>
  <c r="BQ150" i="1"/>
  <c r="BP150" i="1"/>
  <c r="BL150" i="1"/>
  <c r="BK150" i="1"/>
  <c r="BJ150" i="1"/>
  <c r="BI150" i="1"/>
  <c r="BH150" i="1"/>
  <c r="BG150" i="1"/>
  <c r="BF150" i="1"/>
  <c r="BE150" i="1"/>
  <c r="AL150" i="1"/>
  <c r="AE150" i="1"/>
  <c r="AF150" i="1" s="1"/>
  <c r="AC150" i="1"/>
  <c r="X150" i="1"/>
  <c r="U150" i="1"/>
  <c r="V150" i="1" s="1"/>
  <c r="R150" i="1"/>
  <c r="Q150" i="1"/>
  <c r="W150" i="1" s="1"/>
  <c r="P150" i="1"/>
  <c r="L150" i="1"/>
  <c r="C143" i="5" s="1"/>
  <c r="D150" i="1"/>
  <c r="B150" i="1" s="1"/>
  <c r="C150" i="1"/>
  <c r="A150" i="1"/>
  <c r="DD149" i="1"/>
  <c r="DC149" i="1"/>
  <c r="DB149" i="1"/>
  <c r="DA149" i="1"/>
  <c r="CZ149" i="1"/>
  <c r="CY149" i="1"/>
  <c r="CV149" i="1"/>
  <c r="H142" i="5" s="1"/>
  <c r="CD149" i="1"/>
  <c r="CB149" i="1"/>
  <c r="CA149" i="1"/>
  <c r="BY149" i="1"/>
  <c r="BW149" i="1"/>
  <c r="BV149" i="1"/>
  <c r="BS149" i="1"/>
  <c r="BQ149" i="1"/>
  <c r="BP149" i="1"/>
  <c r="BL149" i="1"/>
  <c r="BK149" i="1"/>
  <c r="BJ149" i="1"/>
  <c r="BI149" i="1"/>
  <c r="BH149" i="1"/>
  <c r="BG149" i="1"/>
  <c r="BF149" i="1"/>
  <c r="BE149" i="1"/>
  <c r="AL149" i="1"/>
  <c r="AE149" i="1"/>
  <c r="AF149" i="1" s="1"/>
  <c r="AC149" i="1"/>
  <c r="W149" i="1"/>
  <c r="X149" i="1" s="1"/>
  <c r="CX149" i="1" s="1"/>
  <c r="U149" i="1"/>
  <c r="V149" i="1" s="1"/>
  <c r="R149" i="1"/>
  <c r="Q149" i="1"/>
  <c r="P149" i="1"/>
  <c r="L149" i="1"/>
  <c r="C142" i="5" s="1"/>
  <c r="D149" i="1"/>
  <c r="C149" i="1"/>
  <c r="A149" i="1"/>
  <c r="DD148" i="1"/>
  <c r="DC148" i="1" s="1"/>
  <c r="CY148" i="1"/>
  <c r="CV148" i="1"/>
  <c r="H141" i="5" s="1"/>
  <c r="CD148" i="1"/>
  <c r="CA148" i="1"/>
  <c r="CB148" i="1" s="1"/>
  <c r="BY148" i="1"/>
  <c r="BW148" i="1"/>
  <c r="BV148" i="1"/>
  <c r="BS148" i="1"/>
  <c r="BQ148" i="1"/>
  <c r="BP148" i="1"/>
  <c r="BL148" i="1"/>
  <c r="BK148" i="1"/>
  <c r="BJ148" i="1"/>
  <c r="BI148" i="1"/>
  <c r="BH148" i="1"/>
  <c r="BG148" i="1"/>
  <c r="BF148" i="1"/>
  <c r="BE148" i="1"/>
  <c r="AL148" i="1"/>
  <c r="AJ148" i="1" s="1"/>
  <c r="AF148" i="1"/>
  <c r="AE148" i="1"/>
  <c r="AC148" i="1"/>
  <c r="U148" i="1"/>
  <c r="BT148" i="1" s="1"/>
  <c r="R148" i="1"/>
  <c r="Q148" i="1"/>
  <c r="P148" i="1"/>
  <c r="L148" i="1"/>
  <c r="C141" i="5" s="1"/>
  <c r="D148" i="1"/>
  <c r="C148" i="1"/>
  <c r="B148" i="1" s="1"/>
  <c r="A148" i="1"/>
  <c r="DD147" i="1"/>
  <c r="DB147" i="1" s="1"/>
  <c r="DC147" i="1"/>
  <c r="DA147" i="1"/>
  <c r="CZ147" i="1"/>
  <c r="CY147" i="1"/>
  <c r="CV147" i="1"/>
  <c r="H140" i="5" s="1"/>
  <c r="CD147" i="1"/>
  <c r="CB147" i="1"/>
  <c r="CA147" i="1"/>
  <c r="BY147" i="1"/>
  <c r="BV147" i="1"/>
  <c r="BS147" i="1"/>
  <c r="BQ147" i="1"/>
  <c r="BP147" i="1"/>
  <c r="BL147" i="1"/>
  <c r="BK147" i="1"/>
  <c r="BJ147" i="1"/>
  <c r="BI147" i="1"/>
  <c r="BH147" i="1"/>
  <c r="BG147" i="1"/>
  <c r="BF147" i="1"/>
  <c r="BE147" i="1"/>
  <c r="AF147" i="1"/>
  <c r="AE147" i="1"/>
  <c r="AC147" i="1"/>
  <c r="U147" i="1"/>
  <c r="BT147" i="1" s="1"/>
  <c r="BW147" i="1" s="1"/>
  <c r="R147" i="1"/>
  <c r="Q147" i="1"/>
  <c r="P147" i="1"/>
  <c r="L147" i="1"/>
  <c r="C140" i="5" s="1"/>
  <c r="D147" i="1"/>
  <c r="B147" i="1" s="1"/>
  <c r="C147" i="1"/>
  <c r="A147" i="1"/>
  <c r="DD146" i="1"/>
  <c r="DC146" i="1"/>
  <c r="DB146" i="1"/>
  <c r="DA146" i="1"/>
  <c r="CZ146" i="1"/>
  <c r="CY146" i="1"/>
  <c r="CV146" i="1"/>
  <c r="H139" i="5" s="1"/>
  <c r="CD146" i="1"/>
  <c r="CA146" i="1"/>
  <c r="BY146" i="1"/>
  <c r="BV146" i="1"/>
  <c r="BS146" i="1"/>
  <c r="BQ146" i="1"/>
  <c r="BP146" i="1"/>
  <c r="BL146" i="1"/>
  <c r="BK146" i="1"/>
  <c r="BJ146" i="1"/>
  <c r="BI146" i="1"/>
  <c r="BH146" i="1"/>
  <c r="BG146" i="1"/>
  <c r="BF146" i="1"/>
  <c r="BE146" i="1"/>
  <c r="AF146" i="1"/>
  <c r="AE146" i="1"/>
  <c r="AC146" i="1"/>
  <c r="U146" i="1"/>
  <c r="R146" i="1"/>
  <c r="Q146" i="1"/>
  <c r="P146" i="1"/>
  <c r="L146" i="1"/>
  <c r="C139" i="5" s="1"/>
  <c r="D146" i="1"/>
  <c r="B146" i="1" s="1"/>
  <c r="C146" i="1"/>
  <c r="A146" i="1"/>
  <c r="DD145" i="1"/>
  <c r="CY145" i="1"/>
  <c r="CV145" i="1"/>
  <c r="H138" i="5" s="1"/>
  <c r="CD145" i="1"/>
  <c r="CA145" i="1"/>
  <c r="CB145" i="1" s="1"/>
  <c r="BY145" i="1"/>
  <c r="BT145" i="1"/>
  <c r="BW145" i="1" s="1"/>
  <c r="BS145" i="1"/>
  <c r="BV145" i="1" s="1"/>
  <c r="BQ145" i="1"/>
  <c r="BP145" i="1"/>
  <c r="BL145" i="1"/>
  <c r="BK145" i="1"/>
  <c r="BJ145" i="1"/>
  <c r="BI145" i="1"/>
  <c r="BH145" i="1"/>
  <c r="BG145" i="1"/>
  <c r="BF145" i="1"/>
  <c r="BE145" i="1"/>
  <c r="AW145" i="1"/>
  <c r="AN145" i="1"/>
  <c r="AQ145" i="1" s="1"/>
  <c r="AL145" i="1"/>
  <c r="AJ145" i="1"/>
  <c r="AY145" i="1" s="1"/>
  <c r="AZ145" i="1" s="1"/>
  <c r="AF145" i="1"/>
  <c r="AE145" i="1"/>
  <c r="AC145" i="1"/>
  <c r="W145" i="1"/>
  <c r="X145" i="1" s="1"/>
  <c r="CX145" i="1" s="1"/>
  <c r="V145" i="1"/>
  <c r="U145" i="1"/>
  <c r="R145" i="1"/>
  <c r="Q145" i="1"/>
  <c r="P145" i="1"/>
  <c r="L145" i="1"/>
  <c r="C138" i="5" s="1"/>
  <c r="D145" i="1"/>
  <c r="C145" i="1"/>
  <c r="B145" i="1"/>
  <c r="A145" i="1"/>
  <c r="DD144" i="1"/>
  <c r="DB144" i="1" s="1"/>
  <c r="DC144" i="1"/>
  <c r="DA144" i="1"/>
  <c r="CZ144" i="1"/>
  <c r="CY144" i="1"/>
  <c r="CV144" i="1"/>
  <c r="H137" i="5" s="1"/>
  <c r="CD144" i="1"/>
  <c r="CA144" i="1"/>
  <c r="BY144" i="1"/>
  <c r="BW144" i="1"/>
  <c r="BT144" i="1"/>
  <c r="BS144" i="1"/>
  <c r="BV144" i="1" s="1"/>
  <c r="BQ144" i="1"/>
  <c r="BP144" i="1"/>
  <c r="BL144" i="1"/>
  <c r="BK144" i="1"/>
  <c r="BJ144" i="1"/>
  <c r="BI144" i="1"/>
  <c r="BH144" i="1"/>
  <c r="BG144" i="1"/>
  <c r="BF144" i="1"/>
  <c r="BE144" i="1"/>
  <c r="AE144" i="1"/>
  <c r="AF144" i="1" s="1"/>
  <c r="AC144" i="1"/>
  <c r="U144" i="1"/>
  <c r="R144" i="1"/>
  <c r="Q144" i="1"/>
  <c r="W144" i="1" s="1"/>
  <c r="X144" i="1" s="1"/>
  <c r="P144" i="1"/>
  <c r="L144" i="1"/>
  <c r="C137" i="5" s="1"/>
  <c r="D144" i="1"/>
  <c r="C144" i="1"/>
  <c r="B144" i="1" s="1"/>
  <c r="A144" i="1"/>
  <c r="DD143" i="1"/>
  <c r="DC143" i="1"/>
  <c r="CY143" i="1"/>
  <c r="CV143" i="1"/>
  <c r="H136" i="5" s="1"/>
  <c r="CD143" i="1"/>
  <c r="CA143" i="1"/>
  <c r="CB143" i="1" s="1"/>
  <c r="BY143" i="1"/>
  <c r="BV143" i="1"/>
  <c r="BS143" i="1"/>
  <c r="BQ143" i="1"/>
  <c r="BP143" i="1"/>
  <c r="BL143" i="1"/>
  <c r="BK143" i="1"/>
  <c r="BJ143" i="1"/>
  <c r="BI143" i="1"/>
  <c r="BH143" i="1"/>
  <c r="BG143" i="1"/>
  <c r="BF143" i="1"/>
  <c r="BE143" i="1"/>
  <c r="AF143" i="1"/>
  <c r="AE143" i="1"/>
  <c r="AC143" i="1"/>
  <c r="V143" i="1"/>
  <c r="U143" i="1"/>
  <c r="R143" i="1"/>
  <c r="Q143" i="1"/>
  <c r="W143" i="1" s="1"/>
  <c r="X143" i="1" s="1"/>
  <c r="P143" i="1"/>
  <c r="L143" i="1"/>
  <c r="C136" i="5" s="1"/>
  <c r="D143" i="1"/>
  <c r="C143" i="1"/>
  <c r="B143" i="1"/>
  <c r="A143" i="1"/>
  <c r="DD142" i="1"/>
  <c r="CZ142" i="1" s="1"/>
  <c r="DC142" i="1"/>
  <c r="DB142" i="1"/>
  <c r="DA142" i="1"/>
  <c r="CY142" i="1"/>
  <c r="CV142" i="1"/>
  <c r="H135" i="5" s="1"/>
  <c r="CD142" i="1"/>
  <c r="CA142" i="1"/>
  <c r="CB142" i="1" s="1"/>
  <c r="BY142" i="1"/>
  <c r="BV142" i="1"/>
  <c r="BS142" i="1"/>
  <c r="BQ142" i="1"/>
  <c r="BP142" i="1"/>
  <c r="BL142" i="1"/>
  <c r="BK142" i="1"/>
  <c r="BJ142" i="1"/>
  <c r="BI142" i="1"/>
  <c r="BH142" i="1"/>
  <c r="BG142" i="1"/>
  <c r="BF142" i="1"/>
  <c r="BE142" i="1"/>
  <c r="AL142" i="1"/>
  <c r="AE142" i="1"/>
  <c r="AF142" i="1" s="1"/>
  <c r="AC142" i="1"/>
  <c r="X142" i="1"/>
  <c r="V142" i="1"/>
  <c r="U142" i="1"/>
  <c r="BT142" i="1" s="1"/>
  <c r="BW142" i="1" s="1"/>
  <c r="R142" i="1"/>
  <c r="Q142" i="1"/>
  <c r="W142" i="1" s="1"/>
  <c r="P142" i="1"/>
  <c r="L142" i="1"/>
  <c r="C135" i="5" s="1"/>
  <c r="D142" i="1"/>
  <c r="C142" i="1"/>
  <c r="B142" i="1"/>
  <c r="A142" i="1"/>
  <c r="DD141" i="1"/>
  <c r="DA141" i="1" s="1"/>
  <c r="DC141" i="1"/>
  <c r="CY141" i="1"/>
  <c r="CV141" i="1"/>
  <c r="H134" i="5" s="1"/>
  <c r="CD141" i="1"/>
  <c r="CA141" i="1"/>
  <c r="BY141" i="1"/>
  <c r="BT141" i="1"/>
  <c r="BW141" i="1" s="1"/>
  <c r="BS141" i="1"/>
  <c r="BV141" i="1" s="1"/>
  <c r="BQ141" i="1"/>
  <c r="BP141" i="1"/>
  <c r="BL141" i="1"/>
  <c r="BK141" i="1"/>
  <c r="BJ141" i="1"/>
  <c r="BI141" i="1"/>
  <c r="BH141" i="1"/>
  <c r="BG141" i="1"/>
  <c r="BF141" i="1"/>
  <c r="BE141" i="1"/>
  <c r="AE141" i="1"/>
  <c r="AF141" i="1" s="1"/>
  <c r="AC141" i="1"/>
  <c r="U141" i="1"/>
  <c r="V141" i="1" s="1"/>
  <c r="R141" i="1"/>
  <c r="Q141" i="1"/>
  <c r="P141" i="1"/>
  <c r="L141" i="1"/>
  <c r="C134" i="5" s="1"/>
  <c r="D141" i="1"/>
  <c r="C141" i="1"/>
  <c r="A141" i="1"/>
  <c r="DD140" i="1"/>
  <c r="DB140" i="1" s="1"/>
  <c r="CZ140" i="1"/>
  <c r="CY140" i="1"/>
  <c r="CV140" i="1"/>
  <c r="H133" i="5" s="1"/>
  <c r="CD140" i="1"/>
  <c r="CB140" i="1"/>
  <c r="CA140" i="1"/>
  <c r="BY140" i="1"/>
  <c r="BV140" i="1"/>
  <c r="BS140" i="1"/>
  <c r="BQ140" i="1"/>
  <c r="BP140" i="1"/>
  <c r="BL140" i="1"/>
  <c r="BK140" i="1"/>
  <c r="BJ140" i="1"/>
  <c r="BI140" i="1"/>
  <c r="BH140" i="1"/>
  <c r="BG140" i="1"/>
  <c r="BF140" i="1"/>
  <c r="BE140" i="1"/>
  <c r="AN140" i="1"/>
  <c r="AQ140" i="1" s="1"/>
  <c r="AL140" i="1"/>
  <c r="AJ140" i="1" s="1"/>
  <c r="AE140" i="1"/>
  <c r="AF140" i="1" s="1"/>
  <c r="AC140" i="1"/>
  <c r="U140" i="1"/>
  <c r="BT140" i="1" s="1"/>
  <c r="BW140" i="1" s="1"/>
  <c r="R140" i="1"/>
  <c r="Q140" i="1"/>
  <c r="W140" i="1" s="1"/>
  <c r="X140" i="1" s="1"/>
  <c r="P140" i="1"/>
  <c r="L140" i="1"/>
  <c r="C133" i="5" s="1"/>
  <c r="D140" i="1"/>
  <c r="C140" i="1"/>
  <c r="B140" i="1" s="1"/>
  <c r="A140" i="1"/>
  <c r="DD139" i="1"/>
  <c r="DC139" i="1" s="1"/>
  <c r="CY139" i="1"/>
  <c r="CV139" i="1"/>
  <c r="H132" i="5" s="1"/>
  <c r="CD139" i="1"/>
  <c r="CB139" i="1"/>
  <c r="CA139" i="1"/>
  <c r="BY139" i="1"/>
  <c r="BV139" i="1"/>
  <c r="BS139" i="1"/>
  <c r="BQ139" i="1"/>
  <c r="BP139" i="1"/>
  <c r="BL139" i="1"/>
  <c r="BK139" i="1"/>
  <c r="BJ139" i="1"/>
  <c r="BI139" i="1"/>
  <c r="BH139" i="1"/>
  <c r="BG139" i="1"/>
  <c r="BF139" i="1"/>
  <c r="BE139" i="1"/>
  <c r="AN139" i="1"/>
  <c r="AL139" i="1"/>
  <c r="AJ139" i="1"/>
  <c r="AF139" i="1"/>
  <c r="AE139" i="1"/>
  <c r="AC139" i="1"/>
  <c r="U139" i="1"/>
  <c r="BT139" i="1" s="1"/>
  <c r="BW139" i="1" s="1"/>
  <c r="R139" i="1"/>
  <c r="Q139" i="1"/>
  <c r="P139" i="1"/>
  <c r="L139" i="1"/>
  <c r="C132" i="5" s="1"/>
  <c r="D139" i="1"/>
  <c r="C139" i="1"/>
  <c r="B139" i="1" s="1"/>
  <c r="A139" i="1"/>
  <c r="DD138" i="1"/>
  <c r="DC138" i="1"/>
  <c r="DB138" i="1"/>
  <c r="DA138" i="1"/>
  <c r="CZ138" i="1"/>
  <c r="CY138" i="1"/>
  <c r="CV138" i="1"/>
  <c r="H131" i="5" s="1"/>
  <c r="CD138" i="1"/>
  <c r="CA138" i="1"/>
  <c r="CB138" i="1" s="1"/>
  <c r="BY138" i="1"/>
  <c r="BV138" i="1"/>
  <c r="BS138" i="1"/>
  <c r="BQ138" i="1"/>
  <c r="BP138" i="1"/>
  <c r="BL138" i="1"/>
  <c r="BK138" i="1"/>
  <c r="BJ138" i="1"/>
  <c r="BI138" i="1"/>
  <c r="BH138" i="1"/>
  <c r="BG138" i="1"/>
  <c r="BF138" i="1"/>
  <c r="BE138" i="1"/>
  <c r="AL138" i="1"/>
  <c r="AF138" i="1"/>
  <c r="AE138" i="1"/>
  <c r="AC138" i="1"/>
  <c r="Z138" i="1"/>
  <c r="Y138" i="1"/>
  <c r="AA138" i="1" s="1"/>
  <c r="W138" i="1"/>
  <c r="X138" i="1" s="1"/>
  <c r="CX138" i="1" s="1"/>
  <c r="V138" i="1"/>
  <c r="U138" i="1"/>
  <c r="AN138" i="1" s="1"/>
  <c r="AO138" i="1" s="1"/>
  <c r="R138" i="1"/>
  <c r="Q138" i="1"/>
  <c r="P138" i="1"/>
  <c r="L138" i="1"/>
  <c r="C131" i="5" s="1"/>
  <c r="D138" i="1"/>
  <c r="C138" i="1"/>
  <c r="B138" i="1"/>
  <c r="A138" i="1"/>
  <c r="DD137" i="1"/>
  <c r="DC137" i="1"/>
  <c r="DB137" i="1"/>
  <c r="DA137" i="1"/>
  <c r="CZ137" i="1"/>
  <c r="CY137" i="1"/>
  <c r="CV137" i="1"/>
  <c r="H130" i="5" s="1"/>
  <c r="CD137" i="1"/>
  <c r="CA137" i="1"/>
  <c r="CB137" i="1" s="1"/>
  <c r="BY137" i="1"/>
  <c r="BW137" i="1"/>
  <c r="BV137" i="1"/>
  <c r="BS137" i="1"/>
  <c r="BQ137" i="1"/>
  <c r="BP137" i="1"/>
  <c r="BL137" i="1"/>
  <c r="BK137" i="1"/>
  <c r="BJ137" i="1"/>
  <c r="BI137" i="1"/>
  <c r="BH137" i="1"/>
  <c r="BG137" i="1"/>
  <c r="BF137" i="1"/>
  <c r="BE137" i="1"/>
  <c r="AL137" i="1"/>
  <c r="AJ137" i="1" s="1"/>
  <c r="AK137" i="1" s="1"/>
  <c r="AE137" i="1"/>
  <c r="AF137" i="1" s="1"/>
  <c r="AC137" i="1"/>
  <c r="U137" i="1"/>
  <c r="R137" i="1"/>
  <c r="Q137" i="1"/>
  <c r="P137" i="1"/>
  <c r="L137" i="1"/>
  <c r="C130" i="5" s="1"/>
  <c r="D137" i="1"/>
  <c r="B137" i="1" s="1"/>
  <c r="C137" i="1"/>
  <c r="A137" i="1"/>
  <c r="DD136" i="1"/>
  <c r="DC136" i="1" s="1"/>
  <c r="DA136" i="1"/>
  <c r="CZ136" i="1"/>
  <c r="CY136" i="1"/>
  <c r="CV136" i="1"/>
  <c r="H129" i="5" s="1"/>
  <c r="CD136" i="1"/>
  <c r="CA136" i="1"/>
  <c r="CB136" i="1" s="1"/>
  <c r="BY136" i="1"/>
  <c r="BS136" i="1"/>
  <c r="BV136" i="1" s="1"/>
  <c r="BQ136" i="1"/>
  <c r="BP136" i="1"/>
  <c r="BL136" i="1"/>
  <c r="BK136" i="1"/>
  <c r="BJ136" i="1"/>
  <c r="BI136" i="1"/>
  <c r="BH136" i="1"/>
  <c r="BG136" i="1"/>
  <c r="BF136" i="1"/>
  <c r="BE136" i="1"/>
  <c r="AE136" i="1"/>
  <c r="AF136" i="1" s="1"/>
  <c r="AC136" i="1"/>
  <c r="X136" i="1"/>
  <c r="W136" i="1"/>
  <c r="U136" i="1"/>
  <c r="R136" i="1"/>
  <c r="Q136" i="1"/>
  <c r="P136" i="1"/>
  <c r="L136" i="1"/>
  <c r="C129" i="5" s="1"/>
  <c r="D136" i="1"/>
  <c r="C136" i="1"/>
  <c r="B136" i="1" s="1"/>
  <c r="A136" i="1"/>
  <c r="DD135" i="1"/>
  <c r="CZ135" i="1"/>
  <c r="CY135" i="1"/>
  <c r="CV135" i="1"/>
  <c r="H128" i="5" s="1"/>
  <c r="CD135" i="1"/>
  <c r="CB135" i="1"/>
  <c r="CA135" i="1"/>
  <c r="BY135" i="1"/>
  <c r="BV135" i="1"/>
  <c r="BS135" i="1"/>
  <c r="BQ135" i="1"/>
  <c r="BP135" i="1"/>
  <c r="BL135" i="1"/>
  <c r="BK135" i="1"/>
  <c r="BJ135" i="1"/>
  <c r="BI135" i="1"/>
  <c r="BH135" i="1"/>
  <c r="BG135" i="1"/>
  <c r="BF135" i="1"/>
  <c r="BE135" i="1"/>
  <c r="AF135" i="1"/>
  <c r="AE135" i="1"/>
  <c r="AC135" i="1"/>
  <c r="U135" i="1"/>
  <c r="R135" i="1"/>
  <c r="Q135" i="1"/>
  <c r="W135" i="1" s="1"/>
  <c r="X135" i="1" s="1"/>
  <c r="P135" i="1"/>
  <c r="L135" i="1"/>
  <c r="C128" i="5" s="1"/>
  <c r="D135" i="1"/>
  <c r="C135" i="1"/>
  <c r="B135" i="1"/>
  <c r="A135" i="1"/>
  <c r="DD134" i="1"/>
  <c r="DA134" i="1" s="1"/>
  <c r="DC134" i="1"/>
  <c r="CY134" i="1"/>
  <c r="CV134" i="1"/>
  <c r="H127" i="5" s="1"/>
  <c r="CD134" i="1"/>
  <c r="CB134" i="1"/>
  <c r="CA134" i="1"/>
  <c r="BY134" i="1"/>
  <c r="BV134" i="1"/>
  <c r="BS134" i="1"/>
  <c r="BQ134" i="1"/>
  <c r="BP134" i="1"/>
  <c r="BL134" i="1"/>
  <c r="BK134" i="1"/>
  <c r="BJ134" i="1"/>
  <c r="BI134" i="1"/>
  <c r="BH134" i="1"/>
  <c r="BG134" i="1"/>
  <c r="BF134" i="1"/>
  <c r="BE134" i="1"/>
  <c r="AF134" i="1"/>
  <c r="AE134" i="1"/>
  <c r="AC134" i="1"/>
  <c r="Z134" i="1"/>
  <c r="U134" i="1"/>
  <c r="R134" i="1"/>
  <c r="Q134" i="1"/>
  <c r="W134" i="1" s="1"/>
  <c r="X134" i="1" s="1"/>
  <c r="Y134" i="1" s="1"/>
  <c r="AA134" i="1" s="1"/>
  <c r="P134" i="1"/>
  <c r="L134" i="1"/>
  <c r="C127" i="5" s="1"/>
  <c r="D134" i="1"/>
  <c r="C134" i="1"/>
  <c r="B134" i="1"/>
  <c r="A134" i="1"/>
  <c r="DD133" i="1"/>
  <c r="CZ133" i="1" s="1"/>
  <c r="DC133" i="1"/>
  <c r="DB133" i="1"/>
  <c r="DA133" i="1"/>
  <c r="CY133" i="1"/>
  <c r="CX133" i="1"/>
  <c r="CV133" i="1"/>
  <c r="H126" i="5" s="1"/>
  <c r="CD133" i="1"/>
  <c r="CA133" i="1"/>
  <c r="CB133" i="1" s="1"/>
  <c r="BY133" i="1"/>
  <c r="BS133" i="1"/>
  <c r="BV133" i="1" s="1"/>
  <c r="BQ133" i="1"/>
  <c r="BP133" i="1"/>
  <c r="BL133" i="1"/>
  <c r="BK133" i="1"/>
  <c r="BJ133" i="1"/>
  <c r="BI133" i="1"/>
  <c r="BH133" i="1"/>
  <c r="BG133" i="1"/>
  <c r="BF133" i="1"/>
  <c r="BE133" i="1"/>
  <c r="AL133" i="1"/>
  <c r="AE133" i="1"/>
  <c r="AF133" i="1" s="1"/>
  <c r="AC133" i="1"/>
  <c r="U133" i="1"/>
  <c r="R133" i="1"/>
  <c r="Q133" i="1"/>
  <c r="W133" i="1" s="1"/>
  <c r="X133" i="1" s="1"/>
  <c r="Y133" i="1" s="1"/>
  <c r="P133" i="1"/>
  <c r="L133" i="1"/>
  <c r="C126" i="5" s="1"/>
  <c r="D133" i="1"/>
  <c r="B133" i="1" s="1"/>
  <c r="C133" i="1"/>
  <c r="A133" i="1"/>
  <c r="DD132" i="1"/>
  <c r="DB132" i="1"/>
  <c r="DA132" i="1"/>
  <c r="CY132" i="1"/>
  <c r="CV132" i="1"/>
  <c r="H125" i="5" s="1"/>
  <c r="CD132" i="1"/>
  <c r="CA132" i="1"/>
  <c r="CB132" i="1" s="1"/>
  <c r="BY132" i="1"/>
  <c r="BS132" i="1"/>
  <c r="BV132" i="1" s="1"/>
  <c r="BQ132" i="1"/>
  <c r="BP132" i="1"/>
  <c r="BL132" i="1"/>
  <c r="BK132" i="1"/>
  <c r="BJ132" i="1"/>
  <c r="BI132" i="1"/>
  <c r="BH132" i="1"/>
  <c r="BG132" i="1"/>
  <c r="BF132" i="1"/>
  <c r="BE132" i="1"/>
  <c r="AW132" i="1"/>
  <c r="AL132" i="1"/>
  <c r="AJ132" i="1" s="1"/>
  <c r="AY132" i="1" s="1"/>
  <c r="AZ132" i="1" s="1"/>
  <c r="AE132" i="1"/>
  <c r="AF132" i="1" s="1"/>
  <c r="AC132" i="1"/>
  <c r="X132" i="1"/>
  <c r="CX132" i="1" s="1"/>
  <c r="U132" i="1"/>
  <c r="V132" i="1" s="1"/>
  <c r="R132" i="1"/>
  <c r="Q132" i="1"/>
  <c r="W132" i="1" s="1"/>
  <c r="P132" i="1"/>
  <c r="L132" i="1"/>
  <c r="C125" i="5" s="1"/>
  <c r="D132" i="1"/>
  <c r="C132" i="1"/>
  <c r="B132" i="1" s="1"/>
  <c r="A132" i="1"/>
  <c r="DD131" i="1"/>
  <c r="DB131" i="1" s="1"/>
  <c r="DC131" i="1"/>
  <c r="CZ131" i="1"/>
  <c r="CY131" i="1"/>
  <c r="CV131" i="1"/>
  <c r="H124" i="5" s="1"/>
  <c r="CD131" i="1"/>
  <c r="CB131" i="1"/>
  <c r="CA131" i="1"/>
  <c r="BY131" i="1"/>
  <c r="BV131" i="1"/>
  <c r="BS131" i="1"/>
  <c r="BQ131" i="1"/>
  <c r="BP131" i="1"/>
  <c r="BL131" i="1"/>
  <c r="BK131" i="1"/>
  <c r="BJ131" i="1"/>
  <c r="BI131" i="1"/>
  <c r="BH131" i="1"/>
  <c r="BG131" i="1"/>
  <c r="BF131" i="1"/>
  <c r="BE131" i="1"/>
  <c r="AN131" i="1"/>
  <c r="AL131" i="1"/>
  <c r="AJ131" i="1"/>
  <c r="AF131" i="1"/>
  <c r="AE131" i="1"/>
  <c r="AC131" i="1"/>
  <c r="U131" i="1"/>
  <c r="BT131" i="1" s="1"/>
  <c r="BW131" i="1" s="1"/>
  <c r="R131" i="1"/>
  <c r="Q131" i="1"/>
  <c r="V131" i="1" s="1"/>
  <c r="P131" i="1"/>
  <c r="L131" i="1"/>
  <c r="C124" i="5" s="1"/>
  <c r="D131" i="1"/>
  <c r="C131" i="1"/>
  <c r="B131" i="1" s="1"/>
  <c r="A131" i="1"/>
  <c r="DD130" i="1"/>
  <c r="DC130" i="1"/>
  <c r="DB130" i="1"/>
  <c r="DA130" i="1"/>
  <c r="CZ130" i="1"/>
  <c r="CY130" i="1"/>
  <c r="CV130" i="1"/>
  <c r="H123" i="5" s="1"/>
  <c r="CD130" i="1"/>
  <c r="CB130" i="1"/>
  <c r="CA130" i="1"/>
  <c r="BY130" i="1"/>
  <c r="BV130" i="1"/>
  <c r="BS130" i="1"/>
  <c r="BQ130" i="1"/>
  <c r="BP130" i="1"/>
  <c r="BL130" i="1"/>
  <c r="BK130" i="1"/>
  <c r="BJ130" i="1"/>
  <c r="BI130" i="1"/>
  <c r="BH130" i="1"/>
  <c r="BG130" i="1"/>
  <c r="BF130" i="1"/>
  <c r="BE130" i="1"/>
  <c r="AL130" i="1"/>
  <c r="AJ130" i="1" s="1"/>
  <c r="AF130" i="1"/>
  <c r="AE130" i="1"/>
  <c r="AC130" i="1"/>
  <c r="X130" i="1"/>
  <c r="CX130" i="1" s="1"/>
  <c r="W130" i="1"/>
  <c r="V130" i="1"/>
  <c r="U130" i="1"/>
  <c r="R130" i="1"/>
  <c r="Q130" i="1"/>
  <c r="P130" i="1"/>
  <c r="L130" i="1"/>
  <c r="C123" i="5" s="1"/>
  <c r="D130" i="1"/>
  <c r="C130" i="1"/>
  <c r="B130" i="1" s="1"/>
  <c r="A130" i="1"/>
  <c r="DD129" i="1"/>
  <c r="DC129" i="1"/>
  <c r="DB129" i="1"/>
  <c r="DA129" i="1"/>
  <c r="CZ129" i="1"/>
  <c r="CY129" i="1"/>
  <c r="CV129" i="1"/>
  <c r="H122" i="5" s="1"/>
  <c r="CD129" i="1"/>
  <c r="CA129" i="1"/>
  <c r="CB129" i="1" s="1"/>
  <c r="BY129" i="1"/>
  <c r="BW129" i="1"/>
  <c r="BV129" i="1"/>
  <c r="BT129" i="1"/>
  <c r="BS129" i="1"/>
  <c r="BQ129" i="1"/>
  <c r="BP129" i="1"/>
  <c r="BL129" i="1"/>
  <c r="BK129" i="1"/>
  <c r="BJ129" i="1"/>
  <c r="BI129" i="1"/>
  <c r="BH129" i="1"/>
  <c r="BG129" i="1"/>
  <c r="BF129" i="1"/>
  <c r="BE129" i="1"/>
  <c r="AL129" i="1"/>
  <c r="AJ129" i="1" s="1"/>
  <c r="AF129" i="1"/>
  <c r="AE129" i="1"/>
  <c r="AC129" i="1"/>
  <c r="X129" i="1"/>
  <c r="Y129" i="1" s="1"/>
  <c r="W129" i="1"/>
  <c r="U129" i="1"/>
  <c r="R129" i="1"/>
  <c r="Q129" i="1"/>
  <c r="P129" i="1"/>
  <c r="L129" i="1"/>
  <c r="C122" i="5" s="1"/>
  <c r="D129" i="1"/>
  <c r="C129" i="1"/>
  <c r="B129" i="1" s="1"/>
  <c r="A129" i="1"/>
  <c r="DD128" i="1"/>
  <c r="DA128" i="1" s="1"/>
  <c r="CY128" i="1"/>
  <c r="CV128" i="1"/>
  <c r="H121" i="5" s="1"/>
  <c r="CD128" i="1"/>
  <c r="CA128" i="1"/>
  <c r="BY128" i="1"/>
  <c r="BS128" i="1"/>
  <c r="BV128" i="1" s="1"/>
  <c r="BQ128" i="1"/>
  <c r="BP128" i="1"/>
  <c r="BL128" i="1"/>
  <c r="BK128" i="1"/>
  <c r="BJ128" i="1"/>
  <c r="BI128" i="1"/>
  <c r="BH128" i="1"/>
  <c r="BG128" i="1"/>
  <c r="BF128" i="1"/>
  <c r="BE128" i="1"/>
  <c r="AF128" i="1"/>
  <c r="AE128" i="1"/>
  <c r="AC128" i="1"/>
  <c r="U128" i="1"/>
  <c r="R128" i="1"/>
  <c r="Q128" i="1"/>
  <c r="P128" i="1"/>
  <c r="L128" i="1"/>
  <c r="C121" i="5" s="1"/>
  <c r="D128" i="1"/>
  <c r="C128" i="1"/>
  <c r="B128" i="1" s="1"/>
  <c r="A128" i="1"/>
  <c r="DD127" i="1"/>
  <c r="DC127" i="1" s="1"/>
  <c r="CY127" i="1"/>
  <c r="CV127" i="1"/>
  <c r="H120" i="5" s="1"/>
  <c r="CD127" i="1"/>
  <c r="CB127" i="1"/>
  <c r="CA127" i="1"/>
  <c r="BY127" i="1"/>
  <c r="BS127" i="1"/>
  <c r="BV127" i="1" s="1"/>
  <c r="BQ127" i="1"/>
  <c r="BP127" i="1"/>
  <c r="BL127" i="1"/>
  <c r="BK127" i="1"/>
  <c r="BJ127" i="1"/>
  <c r="BI127" i="1"/>
  <c r="BH127" i="1"/>
  <c r="BG127" i="1"/>
  <c r="BF127" i="1"/>
  <c r="BE127" i="1"/>
  <c r="AF127" i="1"/>
  <c r="AE127" i="1"/>
  <c r="AC127" i="1"/>
  <c r="V127" i="1"/>
  <c r="U127" i="1"/>
  <c r="R127" i="1"/>
  <c r="Q127" i="1"/>
  <c r="W127" i="1" s="1"/>
  <c r="X127" i="1" s="1"/>
  <c r="P127" i="1"/>
  <c r="L127" i="1"/>
  <c r="C120" i="5" s="1"/>
  <c r="D127" i="1"/>
  <c r="C127" i="1"/>
  <c r="B127" i="1"/>
  <c r="A127" i="1"/>
  <c r="DD126" i="1"/>
  <c r="CY126" i="1"/>
  <c r="CV126" i="1"/>
  <c r="H119" i="5" s="1"/>
  <c r="CD126" i="1"/>
  <c r="CA126" i="1"/>
  <c r="CB126" i="1" s="1"/>
  <c r="BY126" i="1"/>
  <c r="BW126" i="1"/>
  <c r="BV126" i="1"/>
  <c r="BS126" i="1"/>
  <c r="BQ126" i="1"/>
  <c r="BP126" i="1"/>
  <c r="BL126" i="1"/>
  <c r="BK126" i="1"/>
  <c r="BJ126" i="1"/>
  <c r="BI126" i="1"/>
  <c r="BH126" i="1"/>
  <c r="BG126" i="1"/>
  <c r="BF126" i="1"/>
  <c r="BE126" i="1"/>
  <c r="AE126" i="1"/>
  <c r="AF126" i="1" s="1"/>
  <c r="AC126" i="1"/>
  <c r="U126" i="1"/>
  <c r="BT126" i="1" s="1"/>
  <c r="R126" i="1"/>
  <c r="Q126" i="1"/>
  <c r="W126" i="1" s="1"/>
  <c r="X126" i="1" s="1"/>
  <c r="Y126" i="1" s="1"/>
  <c r="P126" i="1"/>
  <c r="L126" i="1"/>
  <c r="C119" i="5" s="1"/>
  <c r="D126" i="1"/>
  <c r="C126" i="1"/>
  <c r="B126" i="1"/>
  <c r="A126" i="1"/>
  <c r="DD125" i="1"/>
  <c r="CZ125" i="1" s="1"/>
  <c r="DC125" i="1"/>
  <c r="DB125" i="1"/>
  <c r="DA125" i="1"/>
  <c r="CY125" i="1"/>
  <c r="CV125" i="1"/>
  <c r="H118" i="5" s="1"/>
  <c r="CD125" i="1"/>
  <c r="CA125" i="1"/>
  <c r="CB125" i="1" s="1"/>
  <c r="BY125" i="1"/>
  <c r="BS125" i="1"/>
  <c r="BV125" i="1" s="1"/>
  <c r="BQ125" i="1"/>
  <c r="BP125" i="1"/>
  <c r="BL125" i="1"/>
  <c r="BK125" i="1"/>
  <c r="BJ125" i="1"/>
  <c r="BI125" i="1"/>
  <c r="BH125" i="1"/>
  <c r="BG125" i="1"/>
  <c r="BF125" i="1"/>
  <c r="BE125" i="1"/>
  <c r="AE125" i="1"/>
  <c r="AF125" i="1" s="1"/>
  <c r="AC125" i="1"/>
  <c r="U125" i="1"/>
  <c r="V125" i="1" s="1"/>
  <c r="R125" i="1"/>
  <c r="Q125" i="1"/>
  <c r="P125" i="1"/>
  <c r="L125" i="1"/>
  <c r="C118" i="5" s="1"/>
  <c r="D125" i="1"/>
  <c r="B125" i="1" s="1"/>
  <c r="C125" i="1"/>
  <c r="A125" i="1"/>
  <c r="DD124" i="1"/>
  <c r="DC124" i="1" s="1"/>
  <c r="CY124" i="1"/>
  <c r="CV124" i="1"/>
  <c r="H117" i="5" s="1"/>
  <c r="CD124" i="1"/>
  <c r="CB124" i="1"/>
  <c r="CA124" i="1"/>
  <c r="BY124" i="1"/>
  <c r="BS124" i="1"/>
  <c r="BV124" i="1" s="1"/>
  <c r="BQ124" i="1"/>
  <c r="BP124" i="1"/>
  <c r="BL124" i="1"/>
  <c r="BK124" i="1"/>
  <c r="BJ124" i="1"/>
  <c r="BI124" i="1"/>
  <c r="BH124" i="1"/>
  <c r="BG124" i="1"/>
  <c r="BF124" i="1"/>
  <c r="BE124" i="1"/>
  <c r="AL124" i="1"/>
  <c r="AN124" i="1" s="1"/>
  <c r="AE124" i="1"/>
  <c r="AF124" i="1" s="1"/>
  <c r="AC124" i="1"/>
  <c r="U124" i="1"/>
  <c r="R124" i="1"/>
  <c r="Q124" i="1"/>
  <c r="W124" i="1" s="1"/>
  <c r="X124" i="1" s="1"/>
  <c r="P124" i="1"/>
  <c r="L124" i="1"/>
  <c r="C117" i="5" s="1"/>
  <c r="D124" i="1"/>
  <c r="C124" i="1"/>
  <c r="A124" i="1"/>
  <c r="DD123" i="1"/>
  <c r="DC123" i="1"/>
  <c r="DB123" i="1"/>
  <c r="DA123" i="1"/>
  <c r="CZ123" i="1"/>
  <c r="CY123" i="1"/>
  <c r="CV123" i="1"/>
  <c r="H116" i="5" s="1"/>
  <c r="CD123" i="1"/>
  <c r="CA123" i="1"/>
  <c r="CB123" i="1" s="1"/>
  <c r="BY123" i="1"/>
  <c r="BW123" i="1"/>
  <c r="BV123" i="1"/>
  <c r="BS123" i="1"/>
  <c r="BQ123" i="1"/>
  <c r="BP123" i="1"/>
  <c r="BL123" i="1"/>
  <c r="BK123" i="1"/>
  <c r="BJ123" i="1"/>
  <c r="BI123" i="1"/>
  <c r="BH123" i="1"/>
  <c r="BG123" i="1"/>
  <c r="BF123" i="1"/>
  <c r="BE123" i="1"/>
  <c r="AL123" i="1"/>
  <c r="AJ123" i="1" s="1"/>
  <c r="AF123" i="1"/>
  <c r="AE123" i="1"/>
  <c r="AC123" i="1"/>
  <c r="U123" i="1"/>
  <c r="BT123" i="1" s="1"/>
  <c r="R123" i="1"/>
  <c r="Q123" i="1"/>
  <c r="W123" i="1" s="1"/>
  <c r="X123" i="1" s="1"/>
  <c r="P123" i="1"/>
  <c r="L123" i="1"/>
  <c r="C116" i="5" s="1"/>
  <c r="D123" i="1"/>
  <c r="C123" i="1"/>
  <c r="B123" i="1" s="1"/>
  <c r="A123" i="1"/>
  <c r="DD122" i="1"/>
  <c r="DC122" i="1"/>
  <c r="DB122" i="1"/>
  <c r="DA122" i="1"/>
  <c r="CZ122" i="1"/>
  <c r="CY122" i="1"/>
  <c r="CV122" i="1"/>
  <c r="H115" i="5" s="1"/>
  <c r="CD122" i="1"/>
  <c r="CA122" i="1"/>
  <c r="CB122" i="1" s="1"/>
  <c r="BY122" i="1"/>
  <c r="BW122" i="1"/>
  <c r="BV122" i="1"/>
  <c r="BS122" i="1"/>
  <c r="BQ122" i="1"/>
  <c r="BP122" i="1"/>
  <c r="BL122" i="1"/>
  <c r="BK122" i="1"/>
  <c r="BJ122" i="1"/>
  <c r="BI122" i="1"/>
  <c r="BH122" i="1"/>
  <c r="BG122" i="1"/>
  <c r="BF122" i="1"/>
  <c r="BE122" i="1"/>
  <c r="AL122" i="1"/>
  <c r="AJ122" i="1"/>
  <c r="AE122" i="1"/>
  <c r="AF122" i="1" s="1"/>
  <c r="AC122" i="1"/>
  <c r="W122" i="1"/>
  <c r="X122" i="1" s="1"/>
  <c r="U122" i="1"/>
  <c r="V122" i="1" s="1"/>
  <c r="R122" i="1"/>
  <c r="Q122" i="1"/>
  <c r="P122" i="1"/>
  <c r="L122" i="1"/>
  <c r="C115" i="5" s="1"/>
  <c r="D122" i="1"/>
  <c r="C122" i="1"/>
  <c r="B122" i="1" s="1"/>
  <c r="A122" i="1"/>
  <c r="DD121" i="1"/>
  <c r="DC121" i="1"/>
  <c r="DB121" i="1"/>
  <c r="DA121" i="1"/>
  <c r="CZ121" i="1"/>
  <c r="CY121" i="1"/>
  <c r="CV121" i="1"/>
  <c r="H114" i="5" s="1"/>
  <c r="CD121" i="1"/>
  <c r="CA121" i="1"/>
  <c r="CB121" i="1" s="1"/>
  <c r="BY121" i="1"/>
  <c r="BV121" i="1"/>
  <c r="BS121" i="1"/>
  <c r="BQ121" i="1"/>
  <c r="BP121" i="1"/>
  <c r="BL121" i="1"/>
  <c r="BK121" i="1"/>
  <c r="BJ121" i="1"/>
  <c r="BI121" i="1"/>
  <c r="BH121" i="1"/>
  <c r="BG121" i="1"/>
  <c r="BF121" i="1"/>
  <c r="BE121" i="1"/>
  <c r="AF121" i="1"/>
  <c r="AE121" i="1"/>
  <c r="AC121" i="1"/>
  <c r="U121" i="1"/>
  <c r="R121" i="1"/>
  <c r="Q121" i="1"/>
  <c r="P121" i="1"/>
  <c r="L121" i="1"/>
  <c r="C114" i="5" s="1"/>
  <c r="D121" i="1"/>
  <c r="B121" i="1" s="1"/>
  <c r="C121" i="1"/>
  <c r="A121" i="1"/>
  <c r="DD120" i="1"/>
  <c r="DC120" i="1" s="1"/>
  <c r="DB120" i="1"/>
  <c r="DA120" i="1"/>
  <c r="CZ120" i="1"/>
  <c r="CY120" i="1"/>
  <c r="CV120" i="1"/>
  <c r="H113" i="5" s="1"/>
  <c r="CD120" i="1"/>
  <c r="CA120" i="1"/>
  <c r="CB120" i="1" s="1"/>
  <c r="BY120" i="1"/>
  <c r="BV120" i="1"/>
  <c r="BS120" i="1"/>
  <c r="BQ120" i="1"/>
  <c r="BP120" i="1"/>
  <c r="BL120" i="1"/>
  <c r="BK120" i="1"/>
  <c r="BJ120" i="1"/>
  <c r="BI120" i="1"/>
  <c r="BH120" i="1"/>
  <c r="BG120" i="1"/>
  <c r="BF120" i="1"/>
  <c r="BE120" i="1"/>
  <c r="AF120" i="1"/>
  <c r="AE120" i="1"/>
  <c r="AC120" i="1"/>
  <c r="U120" i="1"/>
  <c r="BT120" i="1" s="1"/>
  <c r="BW120" i="1" s="1"/>
  <c r="R120" i="1"/>
  <c r="Q120" i="1"/>
  <c r="P120" i="1"/>
  <c r="L120" i="1"/>
  <c r="C113" i="5" s="1"/>
  <c r="D120" i="1"/>
  <c r="C120" i="1"/>
  <c r="B120" i="1" s="1"/>
  <c r="A120" i="1"/>
  <c r="DD119" i="1"/>
  <c r="DB119" i="1" s="1"/>
  <c r="DC119" i="1"/>
  <c r="CY119" i="1"/>
  <c r="CV119" i="1"/>
  <c r="H112" i="5" s="1"/>
  <c r="CD119" i="1"/>
  <c r="CB119" i="1"/>
  <c r="CA119" i="1"/>
  <c r="BY119" i="1"/>
  <c r="BT119" i="1"/>
  <c r="BW119" i="1" s="1"/>
  <c r="BS119" i="1"/>
  <c r="BV119" i="1" s="1"/>
  <c r="BQ119" i="1"/>
  <c r="BP119" i="1"/>
  <c r="BL119" i="1"/>
  <c r="BK119" i="1"/>
  <c r="BJ119" i="1"/>
  <c r="BI119" i="1"/>
  <c r="BH119" i="1"/>
  <c r="BG119" i="1"/>
  <c r="BF119" i="1"/>
  <c r="BE119" i="1"/>
  <c r="AF119" i="1"/>
  <c r="AE119" i="1"/>
  <c r="AC119" i="1"/>
  <c r="W119" i="1"/>
  <c r="X119" i="1" s="1"/>
  <c r="U119" i="1"/>
  <c r="R119" i="1"/>
  <c r="Q119" i="1"/>
  <c r="P119" i="1"/>
  <c r="L119" i="1"/>
  <c r="C112" i="5" s="1"/>
  <c r="D119" i="1"/>
  <c r="C119" i="1"/>
  <c r="B119" i="1" s="1"/>
  <c r="A119" i="1"/>
  <c r="DD118" i="1"/>
  <c r="DA118" i="1" s="1"/>
  <c r="CZ118" i="1"/>
  <c r="CY118" i="1"/>
  <c r="CV118" i="1"/>
  <c r="H111" i="5" s="1"/>
  <c r="CD118" i="1"/>
  <c r="CB118" i="1"/>
  <c r="CA118" i="1"/>
  <c r="BY118" i="1"/>
  <c r="BT118" i="1"/>
  <c r="BW118" i="1" s="1"/>
  <c r="BS118" i="1"/>
  <c r="BV118" i="1" s="1"/>
  <c r="BQ118" i="1"/>
  <c r="BP118" i="1"/>
  <c r="BL118" i="1"/>
  <c r="BK118" i="1"/>
  <c r="BJ118" i="1"/>
  <c r="BI118" i="1"/>
  <c r="BH118" i="1"/>
  <c r="BG118" i="1"/>
  <c r="BF118" i="1"/>
  <c r="BE118" i="1"/>
  <c r="AN118" i="1"/>
  <c r="AQ118" i="1" s="1"/>
  <c r="AP118" i="1" s="1"/>
  <c r="AL118" i="1"/>
  <c r="AJ118" i="1" s="1"/>
  <c r="AE118" i="1"/>
  <c r="AF118" i="1" s="1"/>
  <c r="AC118" i="1"/>
  <c r="U118" i="1"/>
  <c r="R118" i="1"/>
  <c r="Q118" i="1"/>
  <c r="W118" i="1" s="1"/>
  <c r="X118" i="1" s="1"/>
  <c r="P118" i="1"/>
  <c r="L118" i="1"/>
  <c r="C111" i="5" s="1"/>
  <c r="D118" i="1"/>
  <c r="C118" i="1"/>
  <c r="B118" i="1" s="1"/>
  <c r="A118" i="1"/>
  <c r="DD117" i="1"/>
  <c r="CZ117" i="1" s="1"/>
  <c r="DC117" i="1"/>
  <c r="DB117" i="1"/>
  <c r="DA117" i="1"/>
  <c r="CY117" i="1"/>
  <c r="CV117" i="1"/>
  <c r="H110" i="5" s="1"/>
  <c r="CD117" i="1"/>
  <c r="CA117" i="1"/>
  <c r="CB117" i="1" s="1"/>
  <c r="BY117" i="1"/>
  <c r="BW117" i="1"/>
  <c r="BV117" i="1"/>
  <c r="BS117" i="1"/>
  <c r="BQ117" i="1"/>
  <c r="BP117" i="1"/>
  <c r="BL117" i="1"/>
  <c r="BK117" i="1"/>
  <c r="BJ117" i="1"/>
  <c r="BI117" i="1"/>
  <c r="BH117" i="1"/>
  <c r="BG117" i="1"/>
  <c r="BF117" i="1"/>
  <c r="BE117" i="1"/>
  <c r="AF117" i="1"/>
  <c r="AE117" i="1"/>
  <c r="AC117" i="1"/>
  <c r="U117" i="1"/>
  <c r="BT117" i="1" s="1"/>
  <c r="R117" i="1"/>
  <c r="Q117" i="1"/>
  <c r="W117" i="1" s="1"/>
  <c r="X117" i="1" s="1"/>
  <c r="P117" i="1"/>
  <c r="L117" i="1"/>
  <c r="C110" i="5" s="1"/>
  <c r="D117" i="1"/>
  <c r="B117" i="1" s="1"/>
  <c r="C117" i="1"/>
  <c r="A117" i="1"/>
  <c r="DD116" i="1"/>
  <c r="DC116" i="1"/>
  <c r="DB116" i="1"/>
  <c r="DA116" i="1"/>
  <c r="CZ116" i="1"/>
  <c r="CY116" i="1"/>
  <c r="CV116" i="1"/>
  <c r="H109" i="5" s="1"/>
  <c r="CD116" i="1"/>
  <c r="CB116" i="1"/>
  <c r="CA116" i="1"/>
  <c r="BY116" i="1"/>
  <c r="BW116" i="1"/>
  <c r="BV116" i="1"/>
  <c r="BS116" i="1"/>
  <c r="BQ116" i="1"/>
  <c r="BP116" i="1"/>
  <c r="BL116" i="1"/>
  <c r="BK116" i="1"/>
  <c r="BJ116" i="1"/>
  <c r="BI116" i="1"/>
  <c r="BH116" i="1"/>
  <c r="BG116" i="1"/>
  <c r="BF116" i="1"/>
  <c r="BE116" i="1"/>
  <c r="AE116" i="1"/>
  <c r="AF116" i="1" s="1"/>
  <c r="AC116" i="1"/>
  <c r="W116" i="1"/>
  <c r="X116" i="1" s="1"/>
  <c r="U116" i="1"/>
  <c r="V116" i="1" s="1"/>
  <c r="R116" i="1"/>
  <c r="Q116" i="1"/>
  <c r="P116" i="1"/>
  <c r="L116" i="1"/>
  <c r="C109" i="5" s="1"/>
  <c r="D116" i="1"/>
  <c r="C116" i="1"/>
  <c r="A116" i="1"/>
  <c r="DD115" i="1"/>
  <c r="DB115" i="1" s="1"/>
  <c r="DC115" i="1"/>
  <c r="CY115" i="1"/>
  <c r="CV115" i="1"/>
  <c r="H108" i="5" s="1"/>
  <c r="CD115" i="1"/>
  <c r="CA115" i="1"/>
  <c r="CB115" i="1" s="1"/>
  <c r="BY115" i="1"/>
  <c r="BS115" i="1"/>
  <c r="BV115" i="1" s="1"/>
  <c r="BQ115" i="1"/>
  <c r="BP115" i="1"/>
  <c r="BL115" i="1"/>
  <c r="BK115" i="1"/>
  <c r="BJ115" i="1"/>
  <c r="BI115" i="1"/>
  <c r="BH115" i="1"/>
  <c r="BG115" i="1"/>
  <c r="BF115" i="1"/>
  <c r="BE115" i="1"/>
  <c r="AL115" i="1"/>
  <c r="AN115" i="1" s="1"/>
  <c r="AK115" i="1"/>
  <c r="AM115" i="1" s="1"/>
  <c r="AJ115" i="1"/>
  <c r="AY115" i="1" s="1"/>
  <c r="AZ115" i="1" s="1"/>
  <c r="AF115" i="1"/>
  <c r="AE115" i="1"/>
  <c r="AC115" i="1"/>
  <c r="X115" i="1"/>
  <c r="W115" i="1"/>
  <c r="V115" i="1"/>
  <c r="U115" i="1"/>
  <c r="BT115" i="1" s="1"/>
  <c r="BW115" i="1" s="1"/>
  <c r="R115" i="1"/>
  <c r="Q115" i="1"/>
  <c r="P115" i="1"/>
  <c r="L115" i="1"/>
  <c r="C108" i="5" s="1"/>
  <c r="D115" i="1"/>
  <c r="C115" i="1"/>
  <c r="B115" i="1"/>
  <c r="A115" i="1"/>
  <c r="DD114" i="1"/>
  <c r="DC114" i="1"/>
  <c r="DB114" i="1"/>
  <c r="DA114" i="1"/>
  <c r="CZ114" i="1"/>
  <c r="CY114" i="1"/>
  <c r="CX114" i="1"/>
  <c r="CV114" i="1"/>
  <c r="H107" i="5" s="1"/>
  <c r="CD114" i="1"/>
  <c r="CA114" i="1"/>
  <c r="CB114" i="1" s="1"/>
  <c r="BY114" i="1"/>
  <c r="BW114" i="1"/>
  <c r="BV114" i="1"/>
  <c r="BT114" i="1"/>
  <c r="BS114" i="1"/>
  <c r="BQ114" i="1"/>
  <c r="BP114" i="1"/>
  <c r="BL114" i="1"/>
  <c r="BK114" i="1"/>
  <c r="BJ114" i="1"/>
  <c r="BI114" i="1"/>
  <c r="BH114" i="1"/>
  <c r="BG114" i="1"/>
  <c r="BF114" i="1"/>
  <c r="BE114" i="1"/>
  <c r="AF114" i="1"/>
  <c r="AE114" i="1"/>
  <c r="AC114" i="1"/>
  <c r="X114" i="1"/>
  <c r="Y114" i="1" s="1"/>
  <c r="W114" i="1"/>
  <c r="V114" i="1"/>
  <c r="U114" i="1"/>
  <c r="R114" i="1"/>
  <c r="Q114" i="1"/>
  <c r="P114" i="1"/>
  <c r="L114" i="1"/>
  <c r="C107" i="5" s="1"/>
  <c r="D114" i="1"/>
  <c r="C114" i="1"/>
  <c r="B114" i="1"/>
  <c r="A114" i="1"/>
  <c r="DD113" i="1"/>
  <c r="CY113" i="1"/>
  <c r="CX113" i="1"/>
  <c r="CV113" i="1"/>
  <c r="H106" i="5" s="1"/>
  <c r="CD113" i="1"/>
  <c r="CB113" i="1"/>
  <c r="CA113" i="1"/>
  <c r="BY113" i="1"/>
  <c r="BT113" i="1"/>
  <c r="BW113" i="1" s="1"/>
  <c r="BS113" i="1"/>
  <c r="BV113" i="1" s="1"/>
  <c r="BQ113" i="1"/>
  <c r="BP113" i="1"/>
  <c r="BL113" i="1"/>
  <c r="BK113" i="1"/>
  <c r="BJ113" i="1"/>
  <c r="BI113" i="1"/>
  <c r="BH113" i="1"/>
  <c r="BG113" i="1"/>
  <c r="BF113" i="1"/>
  <c r="BE113" i="1"/>
  <c r="AE113" i="1"/>
  <c r="AF113" i="1" s="1"/>
  <c r="AC113" i="1"/>
  <c r="AA113" i="1"/>
  <c r="U113" i="1"/>
  <c r="R113" i="1"/>
  <c r="Q113" i="1"/>
  <c r="W113" i="1" s="1"/>
  <c r="X113" i="1" s="1"/>
  <c r="Y113" i="1" s="1"/>
  <c r="Z113" i="1" s="1"/>
  <c r="P113" i="1"/>
  <c r="L113" i="1"/>
  <c r="C106" i="5" s="1"/>
  <c r="D113" i="1"/>
  <c r="C113" i="1"/>
  <c r="B113" i="1" s="1"/>
  <c r="A113" i="1"/>
  <c r="DD112" i="1"/>
  <c r="DB112" i="1" s="1"/>
  <c r="DC112" i="1"/>
  <c r="CY112" i="1"/>
  <c r="CV112" i="1"/>
  <c r="H105" i="5" s="1"/>
  <c r="CD112" i="1"/>
  <c r="CB112" i="1"/>
  <c r="CA112" i="1"/>
  <c r="BY112" i="1"/>
  <c r="BW112" i="1"/>
  <c r="BV112" i="1"/>
  <c r="BS112" i="1"/>
  <c r="BQ112" i="1"/>
  <c r="BP112" i="1"/>
  <c r="BL112" i="1"/>
  <c r="BK112" i="1"/>
  <c r="BJ112" i="1"/>
  <c r="BI112" i="1"/>
  <c r="BH112" i="1"/>
  <c r="BG112" i="1"/>
  <c r="BF112" i="1"/>
  <c r="BE112" i="1"/>
  <c r="AF112" i="1"/>
  <c r="AE112" i="1"/>
  <c r="AC112" i="1"/>
  <c r="V112" i="1"/>
  <c r="U112" i="1"/>
  <c r="R112" i="1"/>
  <c r="Q112" i="1"/>
  <c r="W112" i="1" s="1"/>
  <c r="X112" i="1" s="1"/>
  <c r="P112" i="1"/>
  <c r="L112" i="1"/>
  <c r="C105" i="5" s="1"/>
  <c r="D112" i="1"/>
  <c r="C112" i="1"/>
  <c r="B112" i="1"/>
  <c r="A112" i="1"/>
  <c r="DD111" i="1"/>
  <c r="DB111" i="1"/>
  <c r="CY111" i="1"/>
  <c r="CV111" i="1"/>
  <c r="H104" i="5" s="1"/>
  <c r="CD111" i="1"/>
  <c r="CA111" i="1"/>
  <c r="CB111" i="1" s="1"/>
  <c r="BY111" i="1"/>
  <c r="BW111" i="1"/>
  <c r="BV111" i="1"/>
  <c r="BS111" i="1"/>
  <c r="BQ111" i="1"/>
  <c r="BP111" i="1"/>
  <c r="BL111" i="1"/>
  <c r="BK111" i="1"/>
  <c r="BJ111" i="1"/>
  <c r="BI111" i="1"/>
  <c r="BH111" i="1"/>
  <c r="BG111" i="1"/>
  <c r="BF111" i="1"/>
  <c r="BE111" i="1"/>
  <c r="AE111" i="1"/>
  <c r="AF111" i="1" s="1"/>
  <c r="AC111" i="1"/>
  <c r="U111" i="1"/>
  <c r="V111" i="1" s="1"/>
  <c r="R111" i="1"/>
  <c r="Q111" i="1"/>
  <c r="P111" i="1"/>
  <c r="L111" i="1"/>
  <c r="C104" i="5" s="1"/>
  <c r="D111" i="1"/>
  <c r="C111" i="1"/>
  <c r="B111" i="1" s="1"/>
  <c r="A111" i="1"/>
  <c r="DD110" i="1"/>
  <c r="DC110" i="1" s="1"/>
  <c r="CY110" i="1"/>
  <c r="CV110" i="1"/>
  <c r="H103" i="5" s="1"/>
  <c r="CD110" i="1"/>
  <c r="CB110" i="1"/>
  <c r="CA110" i="1"/>
  <c r="BY110" i="1"/>
  <c r="BS110" i="1"/>
  <c r="BV110" i="1" s="1"/>
  <c r="BQ110" i="1"/>
  <c r="BP110" i="1"/>
  <c r="BL110" i="1"/>
  <c r="BK110" i="1"/>
  <c r="BJ110" i="1"/>
  <c r="BI110" i="1"/>
  <c r="BH110" i="1"/>
  <c r="BG110" i="1"/>
  <c r="BF110" i="1"/>
  <c r="BE110" i="1"/>
  <c r="AN110" i="1"/>
  <c r="AL110" i="1"/>
  <c r="AJ110" i="1" s="1"/>
  <c r="AY110" i="1" s="1"/>
  <c r="AZ110" i="1" s="1"/>
  <c r="AF110" i="1"/>
  <c r="AE110" i="1"/>
  <c r="AC110" i="1"/>
  <c r="U110" i="1"/>
  <c r="BT110" i="1" s="1"/>
  <c r="BW110" i="1" s="1"/>
  <c r="R110" i="1"/>
  <c r="AO110" i="1" s="1"/>
  <c r="Q110" i="1"/>
  <c r="P110" i="1"/>
  <c r="L110" i="1"/>
  <c r="C103" i="5" s="1"/>
  <c r="D110" i="1"/>
  <c r="B110" i="1" s="1"/>
  <c r="C110" i="1"/>
  <c r="A110" i="1"/>
  <c r="DD109" i="1"/>
  <c r="DA109" i="1" s="1"/>
  <c r="CY109" i="1"/>
  <c r="CV109" i="1"/>
  <c r="H102" i="5" s="1"/>
  <c r="CD109" i="1"/>
  <c r="CA109" i="1"/>
  <c r="CB109" i="1" s="1"/>
  <c r="BY109" i="1"/>
  <c r="BW109" i="1"/>
  <c r="BV109" i="1"/>
  <c r="BS109" i="1"/>
  <c r="BQ109" i="1"/>
  <c r="BP109" i="1"/>
  <c r="BL109" i="1"/>
  <c r="BK109" i="1"/>
  <c r="BJ109" i="1"/>
  <c r="BI109" i="1"/>
  <c r="BH109" i="1"/>
  <c r="BG109" i="1"/>
  <c r="BF109" i="1"/>
  <c r="BE109" i="1"/>
  <c r="AL109" i="1"/>
  <c r="AJ109" i="1"/>
  <c r="AE109" i="1"/>
  <c r="AF109" i="1" s="1"/>
  <c r="AC109" i="1"/>
  <c r="U109" i="1"/>
  <c r="R109" i="1"/>
  <c r="Q109" i="1"/>
  <c r="W109" i="1" s="1"/>
  <c r="X109" i="1" s="1"/>
  <c r="P109" i="1"/>
  <c r="L109" i="1"/>
  <c r="C102" i="5" s="1"/>
  <c r="D109" i="1"/>
  <c r="C109" i="1"/>
  <c r="B109" i="1" s="1"/>
  <c r="A109" i="1"/>
  <c r="DD108" i="1"/>
  <c r="DC108" i="1"/>
  <c r="DB108" i="1"/>
  <c r="DA108" i="1"/>
  <c r="CZ108" i="1"/>
  <c r="CY108" i="1"/>
  <c r="CV108" i="1"/>
  <c r="H101" i="5" s="1"/>
  <c r="CD108" i="1"/>
  <c r="CA108" i="1"/>
  <c r="CB108" i="1" s="1"/>
  <c r="BY108" i="1"/>
  <c r="BW108" i="1"/>
  <c r="BV108" i="1"/>
  <c r="BS108" i="1"/>
  <c r="BQ108" i="1"/>
  <c r="BP108" i="1"/>
  <c r="BL108" i="1"/>
  <c r="BK108" i="1"/>
  <c r="BJ108" i="1"/>
  <c r="BI108" i="1"/>
  <c r="BH108" i="1"/>
  <c r="BG108" i="1"/>
  <c r="BF108" i="1"/>
  <c r="BE108" i="1"/>
  <c r="AL108" i="1"/>
  <c r="AJ108" i="1" s="1"/>
  <c r="AF108" i="1"/>
  <c r="AE108" i="1"/>
  <c r="AC108" i="1"/>
  <c r="X108" i="1"/>
  <c r="CX108" i="1" s="1"/>
  <c r="W108" i="1"/>
  <c r="V108" i="1"/>
  <c r="U108" i="1"/>
  <c r="BT108" i="1" s="1"/>
  <c r="R108" i="1"/>
  <c r="Q108" i="1"/>
  <c r="P108" i="1"/>
  <c r="L108" i="1"/>
  <c r="C101" i="5" s="1"/>
  <c r="D108" i="1"/>
  <c r="B108" i="1" s="1"/>
  <c r="C108" i="1"/>
  <c r="A108" i="1"/>
  <c r="DD107" i="1"/>
  <c r="DC107" i="1" s="1"/>
  <c r="CZ107" i="1"/>
  <c r="CY107" i="1"/>
  <c r="CV107" i="1"/>
  <c r="H100" i="5" s="1"/>
  <c r="CD107" i="1"/>
  <c r="CA107" i="1"/>
  <c r="CB107" i="1" s="1"/>
  <c r="BY107" i="1"/>
  <c r="BV107" i="1"/>
  <c r="BT107" i="1"/>
  <c r="BW107" i="1" s="1"/>
  <c r="BS107" i="1"/>
  <c r="BQ107" i="1"/>
  <c r="BP107" i="1"/>
  <c r="BL107" i="1"/>
  <c r="BK107" i="1"/>
  <c r="BJ107" i="1"/>
  <c r="BI107" i="1"/>
  <c r="BH107" i="1"/>
  <c r="BG107" i="1"/>
  <c r="BF107" i="1"/>
  <c r="BE107" i="1"/>
  <c r="AE107" i="1"/>
  <c r="AF107" i="1" s="1"/>
  <c r="AC107" i="1"/>
  <c r="U107" i="1"/>
  <c r="R107" i="1"/>
  <c r="Q107" i="1"/>
  <c r="W107" i="1" s="1"/>
  <c r="X107" i="1" s="1"/>
  <c r="P107" i="1"/>
  <c r="L107" i="1"/>
  <c r="C100" i="5" s="1"/>
  <c r="D107" i="1"/>
  <c r="C107" i="1"/>
  <c r="A107" i="1"/>
  <c r="DD106" i="1"/>
  <c r="DB106" i="1" s="1"/>
  <c r="DC106" i="1"/>
  <c r="DA106" i="1"/>
  <c r="CZ106" i="1"/>
  <c r="CY106" i="1"/>
  <c r="CV106" i="1"/>
  <c r="H99" i="5" s="1"/>
  <c r="CD106" i="1"/>
  <c r="CB106" i="1"/>
  <c r="CA106" i="1"/>
  <c r="BY106" i="1"/>
  <c r="BW106" i="1"/>
  <c r="BV106" i="1"/>
  <c r="BS106" i="1"/>
  <c r="BQ106" i="1"/>
  <c r="BP106" i="1"/>
  <c r="BL106" i="1"/>
  <c r="BK106" i="1"/>
  <c r="BJ106" i="1"/>
  <c r="BI106" i="1"/>
  <c r="BH106" i="1"/>
  <c r="BG106" i="1"/>
  <c r="BF106" i="1"/>
  <c r="BE106" i="1"/>
  <c r="AF106" i="1"/>
  <c r="AE106" i="1"/>
  <c r="AC106" i="1"/>
  <c r="W106" i="1"/>
  <c r="X106" i="1" s="1"/>
  <c r="V106" i="1"/>
  <c r="U106" i="1"/>
  <c r="BT106" i="1" s="1"/>
  <c r="R106" i="1"/>
  <c r="Q106" i="1"/>
  <c r="P106" i="1"/>
  <c r="L106" i="1"/>
  <c r="C99" i="5" s="1"/>
  <c r="D106" i="1"/>
  <c r="C106" i="1"/>
  <c r="B106" i="1"/>
  <c r="A106" i="1"/>
  <c r="DD105" i="1"/>
  <c r="DB105" i="1"/>
  <c r="CZ105" i="1"/>
  <c r="CY105" i="1"/>
  <c r="CV105" i="1"/>
  <c r="H98" i="5" s="1"/>
  <c r="CD105" i="1"/>
  <c r="CA105" i="1"/>
  <c r="CB105" i="1" s="1"/>
  <c r="BY105" i="1"/>
  <c r="BW105" i="1"/>
  <c r="BV105" i="1"/>
  <c r="BS105" i="1"/>
  <c r="BQ105" i="1"/>
  <c r="BP105" i="1"/>
  <c r="BL105" i="1"/>
  <c r="BK105" i="1"/>
  <c r="BJ105" i="1"/>
  <c r="BI105" i="1"/>
  <c r="BH105" i="1"/>
  <c r="BG105" i="1"/>
  <c r="BF105" i="1"/>
  <c r="BE105" i="1"/>
  <c r="AL105" i="1"/>
  <c r="AJ105" i="1" s="1"/>
  <c r="AF105" i="1"/>
  <c r="AE105" i="1"/>
  <c r="AC105" i="1"/>
  <c r="V105" i="1"/>
  <c r="U105" i="1"/>
  <c r="AN105" i="1" s="1"/>
  <c r="R105" i="1"/>
  <c r="Q105" i="1"/>
  <c r="W105" i="1" s="1"/>
  <c r="X105" i="1" s="1"/>
  <c r="P105" i="1"/>
  <c r="L105" i="1"/>
  <c r="C98" i="5" s="1"/>
  <c r="D105" i="1"/>
  <c r="C105" i="1"/>
  <c r="B105" i="1"/>
  <c r="A105" i="1"/>
  <c r="DD104" i="1"/>
  <c r="DB104" i="1" s="1"/>
  <c r="DC104" i="1"/>
  <c r="DA104" i="1"/>
  <c r="CY104" i="1"/>
  <c r="CX104" i="1"/>
  <c r="CV104" i="1"/>
  <c r="H97" i="5" s="1"/>
  <c r="CD104" i="1"/>
  <c r="CB104" i="1"/>
  <c r="CA104" i="1"/>
  <c r="BY104" i="1"/>
  <c r="BT104" i="1"/>
  <c r="BS104" i="1"/>
  <c r="BV104" i="1" s="1"/>
  <c r="BQ104" i="1"/>
  <c r="BP104" i="1"/>
  <c r="BL104" i="1"/>
  <c r="BK104" i="1"/>
  <c r="BJ104" i="1"/>
  <c r="BI104" i="1"/>
  <c r="BH104" i="1"/>
  <c r="BG104" i="1"/>
  <c r="BF104" i="1"/>
  <c r="BE104" i="1"/>
  <c r="AE104" i="1"/>
  <c r="AF104" i="1" s="1"/>
  <c r="AC104" i="1"/>
  <c r="X104" i="1"/>
  <c r="Y104" i="1" s="1"/>
  <c r="AA104" i="1" s="1"/>
  <c r="V104" i="1"/>
  <c r="U104" i="1"/>
  <c r="R104" i="1"/>
  <c r="Q104" i="1"/>
  <c r="W104" i="1" s="1"/>
  <c r="P104" i="1"/>
  <c r="L104" i="1"/>
  <c r="C97" i="5" s="1"/>
  <c r="D104" i="1"/>
  <c r="C104" i="1"/>
  <c r="B104" i="1"/>
  <c r="A104" i="1"/>
  <c r="DD103" i="1"/>
  <c r="DB103" i="1"/>
  <c r="CZ103" i="1"/>
  <c r="CY103" i="1"/>
  <c r="CV103" i="1"/>
  <c r="H96" i="5" s="1"/>
  <c r="CD103" i="1"/>
  <c r="CA103" i="1"/>
  <c r="BY103" i="1"/>
  <c r="BT103" i="1"/>
  <c r="BW103" i="1" s="1"/>
  <c r="BS103" i="1"/>
  <c r="BV103" i="1" s="1"/>
  <c r="BQ103" i="1"/>
  <c r="BP103" i="1"/>
  <c r="BL103" i="1"/>
  <c r="BK103" i="1"/>
  <c r="BJ103" i="1"/>
  <c r="BI103" i="1"/>
  <c r="BH103" i="1"/>
  <c r="BG103" i="1"/>
  <c r="BF103" i="1"/>
  <c r="BE103" i="1"/>
  <c r="AE103" i="1"/>
  <c r="AF103" i="1" s="1"/>
  <c r="AC103" i="1"/>
  <c r="W103" i="1"/>
  <c r="X103" i="1" s="1"/>
  <c r="CX103" i="1" s="1"/>
  <c r="U103" i="1"/>
  <c r="AL103" i="1" s="1"/>
  <c r="R103" i="1"/>
  <c r="Q103" i="1"/>
  <c r="P103" i="1"/>
  <c r="L103" i="1"/>
  <c r="C96" i="5" s="1"/>
  <c r="D103" i="1"/>
  <c r="C103" i="1"/>
  <c r="B103" i="1" s="1"/>
  <c r="A103" i="1"/>
  <c r="DD102" i="1"/>
  <c r="DC102" i="1" s="1"/>
  <c r="DA102" i="1"/>
  <c r="CY102" i="1"/>
  <c r="CV102" i="1"/>
  <c r="H95" i="5" s="1"/>
  <c r="CD102" i="1"/>
  <c r="CB102" i="1"/>
  <c r="CA102" i="1"/>
  <c r="BY102" i="1"/>
  <c r="BS102" i="1"/>
  <c r="BV102" i="1" s="1"/>
  <c r="BQ102" i="1"/>
  <c r="BP102" i="1"/>
  <c r="BL102" i="1"/>
  <c r="BK102" i="1"/>
  <c r="BJ102" i="1"/>
  <c r="BI102" i="1"/>
  <c r="BH102" i="1"/>
  <c r="BG102" i="1"/>
  <c r="BF102" i="1"/>
  <c r="BE102" i="1"/>
  <c r="AQ102" i="1"/>
  <c r="AO102" i="1"/>
  <c r="AN102" i="1"/>
  <c r="AL102" i="1"/>
  <c r="AJ102" i="1" s="1"/>
  <c r="AY102" i="1" s="1"/>
  <c r="AZ102" i="1" s="1"/>
  <c r="AF102" i="1"/>
  <c r="AE102" i="1"/>
  <c r="AC102" i="1"/>
  <c r="X102" i="1"/>
  <c r="V102" i="1"/>
  <c r="U102" i="1"/>
  <c r="BT102" i="1" s="1"/>
  <c r="BW102" i="1" s="1"/>
  <c r="R102" i="1"/>
  <c r="Q102" i="1"/>
  <c r="W102" i="1" s="1"/>
  <c r="P102" i="1"/>
  <c r="L102" i="1"/>
  <c r="C95" i="5" s="1"/>
  <c r="D102" i="1"/>
  <c r="C102" i="1"/>
  <c r="B102" i="1"/>
  <c r="A102" i="1"/>
  <c r="DD101" i="1"/>
  <c r="DA101" i="1" s="1"/>
  <c r="DC101" i="1"/>
  <c r="DB101" i="1"/>
  <c r="CZ101" i="1"/>
  <c r="CY101" i="1"/>
  <c r="CV101" i="1"/>
  <c r="H94" i="5" s="1"/>
  <c r="CD101" i="1"/>
  <c r="CA101" i="1"/>
  <c r="BY101" i="1"/>
  <c r="BV101" i="1"/>
  <c r="BS101" i="1"/>
  <c r="BQ101" i="1"/>
  <c r="BP101" i="1"/>
  <c r="BL101" i="1"/>
  <c r="BK101" i="1"/>
  <c r="BJ101" i="1"/>
  <c r="BI101" i="1"/>
  <c r="BH101" i="1"/>
  <c r="BG101" i="1"/>
  <c r="BF101" i="1"/>
  <c r="BE101" i="1"/>
  <c r="AE101" i="1"/>
  <c r="AF101" i="1" s="1"/>
  <c r="AC101" i="1"/>
  <c r="W101" i="1"/>
  <c r="X101" i="1" s="1"/>
  <c r="U101" i="1"/>
  <c r="R101" i="1"/>
  <c r="Q101" i="1"/>
  <c r="P101" i="1"/>
  <c r="L101" i="1"/>
  <c r="C94" i="5" s="1"/>
  <c r="D101" i="1"/>
  <c r="C101" i="1"/>
  <c r="B101" i="1" s="1"/>
  <c r="A101" i="1"/>
  <c r="DD100" i="1"/>
  <c r="DC100" i="1"/>
  <c r="DB100" i="1"/>
  <c r="DA100" i="1"/>
  <c r="CZ100" i="1"/>
  <c r="CY100" i="1"/>
  <c r="CV100" i="1"/>
  <c r="H93" i="5" s="1"/>
  <c r="CD100" i="1"/>
  <c r="CB100" i="1"/>
  <c r="CA100" i="1"/>
  <c r="BY100" i="1"/>
  <c r="BV100" i="1"/>
  <c r="BS100" i="1"/>
  <c r="BQ100" i="1"/>
  <c r="BP100" i="1"/>
  <c r="BL100" i="1"/>
  <c r="BK100" i="1"/>
  <c r="BJ100" i="1"/>
  <c r="BI100" i="1"/>
  <c r="BH100" i="1"/>
  <c r="BG100" i="1"/>
  <c r="BF100" i="1"/>
  <c r="BE100" i="1"/>
  <c r="AL100" i="1"/>
  <c r="AF100" i="1"/>
  <c r="AE100" i="1"/>
  <c r="AC100" i="1"/>
  <c r="Y100" i="1"/>
  <c r="X100" i="1"/>
  <c r="W100" i="1"/>
  <c r="V100" i="1"/>
  <c r="U100" i="1"/>
  <c r="BT100" i="1" s="1"/>
  <c r="R100" i="1"/>
  <c r="Q100" i="1"/>
  <c r="P100" i="1"/>
  <c r="L100" i="1"/>
  <c r="C93" i="5" s="1"/>
  <c r="D100" i="1"/>
  <c r="B100" i="1" s="1"/>
  <c r="C100" i="1"/>
  <c r="A100" i="1"/>
  <c r="DD99" i="1"/>
  <c r="DC99" i="1" s="1"/>
  <c r="DA99" i="1"/>
  <c r="CZ99" i="1"/>
  <c r="CY99" i="1"/>
  <c r="CV99" i="1"/>
  <c r="H92" i="5" s="1"/>
  <c r="CD99" i="1"/>
  <c r="CA99" i="1"/>
  <c r="BY99" i="1"/>
  <c r="BV99" i="1"/>
  <c r="BS99" i="1"/>
  <c r="BQ99" i="1"/>
  <c r="BP99" i="1"/>
  <c r="BL99" i="1"/>
  <c r="BK99" i="1"/>
  <c r="BJ99" i="1"/>
  <c r="BI99" i="1"/>
  <c r="BH99" i="1"/>
  <c r="BG99" i="1"/>
  <c r="BF99" i="1"/>
  <c r="BE99" i="1"/>
  <c r="AE99" i="1"/>
  <c r="AF99" i="1" s="1"/>
  <c r="AC99" i="1"/>
  <c r="U99" i="1"/>
  <c r="R99" i="1"/>
  <c r="Q99" i="1"/>
  <c r="P99" i="1"/>
  <c r="L99" i="1"/>
  <c r="C92" i="5" s="1"/>
  <c r="D99" i="1"/>
  <c r="C99" i="1"/>
  <c r="A99" i="1"/>
  <c r="DD98" i="1"/>
  <c r="DB98" i="1" s="1"/>
  <c r="DC98" i="1"/>
  <c r="DA98" i="1"/>
  <c r="CZ98" i="1"/>
  <c r="CY98" i="1"/>
  <c r="CV98" i="1"/>
  <c r="H91" i="5" s="1"/>
  <c r="CD98" i="1"/>
  <c r="CA98" i="1"/>
  <c r="BY98" i="1"/>
  <c r="BS98" i="1"/>
  <c r="BV98" i="1" s="1"/>
  <c r="BQ98" i="1"/>
  <c r="BP98" i="1"/>
  <c r="BL98" i="1"/>
  <c r="BK98" i="1"/>
  <c r="BJ98" i="1"/>
  <c r="BI98" i="1"/>
  <c r="BH98" i="1"/>
  <c r="BG98" i="1"/>
  <c r="BF98" i="1"/>
  <c r="BE98" i="1"/>
  <c r="AF98" i="1"/>
  <c r="AE98" i="1"/>
  <c r="AC98" i="1"/>
  <c r="U98" i="1"/>
  <c r="CB98" i="1" s="1"/>
  <c r="R98" i="1"/>
  <c r="Q98" i="1"/>
  <c r="P98" i="1"/>
  <c r="L98" i="1"/>
  <c r="C91" i="5" s="1"/>
  <c r="D98" i="1"/>
  <c r="B98" i="1" s="1"/>
  <c r="C98" i="1"/>
  <c r="A98" i="1"/>
  <c r="DD97" i="1"/>
  <c r="DB97" i="1" s="1"/>
  <c r="CZ97" i="1"/>
  <c r="CY97" i="1"/>
  <c r="CX97" i="1"/>
  <c r="CV97" i="1"/>
  <c r="H90" i="5" s="1"/>
  <c r="CD97" i="1"/>
  <c r="CA97" i="1"/>
  <c r="BY97" i="1"/>
  <c r="BT97" i="1"/>
  <c r="BW97" i="1" s="1"/>
  <c r="BS97" i="1"/>
  <c r="BV97" i="1" s="1"/>
  <c r="BQ97" i="1"/>
  <c r="BP97" i="1"/>
  <c r="BL97" i="1"/>
  <c r="BK97" i="1"/>
  <c r="BJ97" i="1"/>
  <c r="BI97" i="1"/>
  <c r="BH97" i="1"/>
  <c r="BG97" i="1"/>
  <c r="BF97" i="1"/>
  <c r="BE97" i="1"/>
  <c r="AN97" i="1"/>
  <c r="AF97" i="1"/>
  <c r="AE97" i="1"/>
  <c r="AC97" i="1"/>
  <c r="Y97" i="1"/>
  <c r="AA97" i="1" s="1"/>
  <c r="U97" i="1"/>
  <c r="AL97" i="1" s="1"/>
  <c r="R97" i="1"/>
  <c r="Q97" i="1"/>
  <c r="W97" i="1" s="1"/>
  <c r="X97" i="1" s="1"/>
  <c r="P97" i="1"/>
  <c r="L97" i="1"/>
  <c r="C90" i="5" s="1"/>
  <c r="D97" i="1"/>
  <c r="C97" i="1"/>
  <c r="B97" i="1"/>
  <c r="A97" i="1"/>
  <c r="DD96" i="1"/>
  <c r="CZ96" i="1" s="1"/>
  <c r="DB96" i="1"/>
  <c r="DA96" i="1"/>
  <c r="CY96" i="1"/>
  <c r="CV96" i="1"/>
  <c r="H89" i="5" s="1"/>
  <c r="CD96" i="1"/>
  <c r="CB96" i="1"/>
  <c r="CA96" i="1"/>
  <c r="BY96" i="1"/>
  <c r="BW96" i="1"/>
  <c r="BV96" i="1"/>
  <c r="BS96" i="1"/>
  <c r="BQ96" i="1"/>
  <c r="BP96" i="1"/>
  <c r="BL96" i="1"/>
  <c r="BK96" i="1"/>
  <c r="BJ96" i="1"/>
  <c r="BI96" i="1"/>
  <c r="BH96" i="1"/>
  <c r="BG96" i="1"/>
  <c r="BF96" i="1"/>
  <c r="BE96" i="1"/>
  <c r="AY96" i="1"/>
  <c r="AZ96" i="1" s="1"/>
  <c r="AL96" i="1"/>
  <c r="AJ96" i="1" s="1"/>
  <c r="AE96" i="1"/>
  <c r="AF96" i="1" s="1"/>
  <c r="AC96" i="1"/>
  <c r="U96" i="1"/>
  <c r="BT96" i="1" s="1"/>
  <c r="R96" i="1"/>
  <c r="Q96" i="1"/>
  <c r="P96" i="1"/>
  <c r="L96" i="1"/>
  <c r="C89" i="5" s="1"/>
  <c r="D96" i="1"/>
  <c r="B96" i="1" s="1"/>
  <c r="C96" i="1"/>
  <c r="A96" i="1"/>
  <c r="DD95" i="1"/>
  <c r="DA95" i="1" s="1"/>
  <c r="DC95" i="1"/>
  <c r="DB95" i="1"/>
  <c r="CZ95" i="1"/>
  <c r="CY95" i="1"/>
  <c r="CV95" i="1"/>
  <c r="H88" i="5" s="1"/>
  <c r="CD95" i="1"/>
  <c r="CA95" i="1"/>
  <c r="CB95" i="1" s="1"/>
  <c r="BY95" i="1"/>
  <c r="BS95" i="1"/>
  <c r="BV95" i="1" s="1"/>
  <c r="BQ95" i="1"/>
  <c r="BP95" i="1"/>
  <c r="BL95" i="1"/>
  <c r="BK95" i="1"/>
  <c r="BJ95" i="1"/>
  <c r="BI95" i="1"/>
  <c r="BH95" i="1"/>
  <c r="BG95" i="1"/>
  <c r="BF95" i="1"/>
  <c r="BE95" i="1"/>
  <c r="AE95" i="1"/>
  <c r="AF95" i="1" s="1"/>
  <c r="AC95" i="1"/>
  <c r="U95" i="1"/>
  <c r="R95" i="1"/>
  <c r="Q95" i="1"/>
  <c r="P95" i="1"/>
  <c r="L95" i="1"/>
  <c r="C88" i="5" s="1"/>
  <c r="D95" i="1"/>
  <c r="C95" i="1"/>
  <c r="B95" i="1"/>
  <c r="A95" i="1"/>
  <c r="DD94" i="1"/>
  <c r="CY94" i="1"/>
  <c r="CV94" i="1"/>
  <c r="H87" i="5" s="1"/>
  <c r="CD94" i="1"/>
  <c r="CA94" i="1"/>
  <c r="CB94" i="1" s="1"/>
  <c r="BY94" i="1"/>
  <c r="BS94" i="1"/>
  <c r="BV94" i="1" s="1"/>
  <c r="BQ94" i="1"/>
  <c r="BP94" i="1"/>
  <c r="BL94" i="1"/>
  <c r="BK94" i="1"/>
  <c r="BJ94" i="1"/>
  <c r="BI94" i="1"/>
  <c r="BH94" i="1"/>
  <c r="BG94" i="1"/>
  <c r="BF94" i="1"/>
  <c r="BE94" i="1"/>
  <c r="AO94" i="1"/>
  <c r="AN94" i="1"/>
  <c r="AL94" i="1"/>
  <c r="AJ94" i="1" s="1"/>
  <c r="AE94" i="1"/>
  <c r="AF94" i="1" s="1"/>
  <c r="AC94" i="1"/>
  <c r="U94" i="1"/>
  <c r="R94" i="1"/>
  <c r="Q94" i="1"/>
  <c r="W94" i="1" s="1"/>
  <c r="X94" i="1" s="1"/>
  <c r="P94" i="1"/>
  <c r="L94" i="1"/>
  <c r="C87" i="5" s="1"/>
  <c r="D94" i="1"/>
  <c r="C94" i="1"/>
  <c r="B94" i="1" s="1"/>
  <c r="A94" i="1"/>
  <c r="DD93" i="1"/>
  <c r="DC93" i="1"/>
  <c r="CY93" i="1"/>
  <c r="CV93" i="1"/>
  <c r="H86" i="5" s="1"/>
  <c r="CD93" i="1"/>
  <c r="CB93" i="1"/>
  <c r="CA93" i="1"/>
  <c r="BY93" i="1"/>
  <c r="BS93" i="1"/>
  <c r="BV93" i="1" s="1"/>
  <c r="BQ93" i="1"/>
  <c r="BP93" i="1"/>
  <c r="BL93" i="1"/>
  <c r="BK93" i="1"/>
  <c r="BJ93" i="1"/>
  <c r="BI93" i="1"/>
  <c r="BH93" i="1"/>
  <c r="BG93" i="1"/>
  <c r="BF93" i="1"/>
  <c r="BE93" i="1"/>
  <c r="AF93" i="1"/>
  <c r="AE93" i="1"/>
  <c r="AC93" i="1"/>
  <c r="U93" i="1"/>
  <c r="R93" i="1"/>
  <c r="Q93" i="1"/>
  <c r="P93" i="1"/>
  <c r="L93" i="1"/>
  <c r="C86" i="5" s="1"/>
  <c r="D93" i="1"/>
  <c r="C93" i="1"/>
  <c r="B93" i="1" s="1"/>
  <c r="A93" i="1"/>
  <c r="DD92" i="1"/>
  <c r="DA92" i="1" s="1"/>
  <c r="DC92" i="1"/>
  <c r="DB92" i="1"/>
  <c r="CZ92" i="1"/>
  <c r="CY92" i="1"/>
  <c r="CV92" i="1"/>
  <c r="H85" i="5" s="1"/>
  <c r="CD92" i="1"/>
  <c r="CA92" i="1"/>
  <c r="CB92" i="1" s="1"/>
  <c r="BY92" i="1"/>
  <c r="BV92" i="1"/>
  <c r="BS92" i="1"/>
  <c r="BQ92" i="1"/>
  <c r="BP92" i="1"/>
  <c r="BL92" i="1"/>
  <c r="BK92" i="1"/>
  <c r="BJ92" i="1"/>
  <c r="BI92" i="1"/>
  <c r="BH92" i="1"/>
  <c r="BG92" i="1"/>
  <c r="BF92" i="1"/>
  <c r="BE92" i="1"/>
  <c r="AL92" i="1"/>
  <c r="AF92" i="1"/>
  <c r="AE92" i="1"/>
  <c r="AC92" i="1"/>
  <c r="W92" i="1"/>
  <c r="X92" i="1" s="1"/>
  <c r="CX92" i="1" s="1"/>
  <c r="V92" i="1"/>
  <c r="U92" i="1"/>
  <c r="BT92" i="1" s="1"/>
  <c r="BW92" i="1" s="1"/>
  <c r="R92" i="1"/>
  <c r="Q92" i="1"/>
  <c r="P92" i="1"/>
  <c r="L92" i="1"/>
  <c r="C85" i="5" s="1"/>
  <c r="D92" i="1"/>
  <c r="C92" i="1"/>
  <c r="B92" i="1"/>
  <c r="A92" i="1"/>
  <c r="DD91" i="1"/>
  <c r="CZ91" i="1" s="1"/>
  <c r="DC91" i="1"/>
  <c r="DB91" i="1"/>
  <c r="DA91" i="1"/>
  <c r="CY91" i="1"/>
  <c r="CV91" i="1"/>
  <c r="H84" i="5" s="1"/>
  <c r="CD91" i="1"/>
  <c r="CA91" i="1"/>
  <c r="CB91" i="1" s="1"/>
  <c r="BY91" i="1"/>
  <c r="BV91" i="1"/>
  <c r="BS91" i="1"/>
  <c r="BQ91" i="1"/>
  <c r="BP91" i="1"/>
  <c r="BL91" i="1"/>
  <c r="BK91" i="1"/>
  <c r="BJ91" i="1"/>
  <c r="BI91" i="1"/>
  <c r="BH91" i="1"/>
  <c r="BG91" i="1"/>
  <c r="BF91" i="1"/>
  <c r="BE91" i="1"/>
  <c r="AL91" i="1"/>
  <c r="AJ91" i="1" s="1"/>
  <c r="AK91" i="1"/>
  <c r="AE91" i="1"/>
  <c r="AF91" i="1" s="1"/>
  <c r="AC91" i="1"/>
  <c r="U91" i="1"/>
  <c r="V91" i="1" s="1"/>
  <c r="R91" i="1"/>
  <c r="Q91" i="1"/>
  <c r="W91" i="1" s="1"/>
  <c r="X91" i="1" s="1"/>
  <c r="P91" i="1"/>
  <c r="L91" i="1"/>
  <c r="C84" i="5" s="1"/>
  <c r="D91" i="1"/>
  <c r="B91" i="1" s="1"/>
  <c r="C91" i="1"/>
  <c r="A91" i="1"/>
  <c r="DD90" i="1"/>
  <c r="DC90" i="1" s="1"/>
  <c r="DB90" i="1"/>
  <c r="DA90" i="1"/>
  <c r="CZ90" i="1"/>
  <c r="CY90" i="1"/>
  <c r="CV90" i="1"/>
  <c r="H83" i="5" s="1"/>
  <c r="CD90" i="1"/>
  <c r="CA90" i="1"/>
  <c r="CB90" i="1" s="1"/>
  <c r="BY90" i="1"/>
  <c r="BS90" i="1"/>
  <c r="BV90" i="1" s="1"/>
  <c r="BQ90" i="1"/>
  <c r="BP90" i="1"/>
  <c r="BL90" i="1"/>
  <c r="BK90" i="1"/>
  <c r="BJ90" i="1"/>
  <c r="BI90" i="1"/>
  <c r="BH90" i="1"/>
  <c r="BG90" i="1"/>
  <c r="BF90" i="1"/>
  <c r="BE90" i="1"/>
  <c r="AE90" i="1"/>
  <c r="AF90" i="1" s="1"/>
  <c r="AC90" i="1"/>
  <c r="W90" i="1"/>
  <c r="X90" i="1" s="1"/>
  <c r="U90" i="1"/>
  <c r="V90" i="1" s="1"/>
  <c r="R90" i="1"/>
  <c r="Q90" i="1"/>
  <c r="P90" i="1"/>
  <c r="L90" i="1"/>
  <c r="C83" i="5" s="1"/>
  <c r="D90" i="1"/>
  <c r="C90" i="1"/>
  <c r="A90" i="1"/>
  <c r="DD89" i="1"/>
  <c r="DC89" i="1" s="1"/>
  <c r="CZ89" i="1"/>
  <c r="CY89" i="1"/>
  <c r="CV89" i="1"/>
  <c r="H82" i="5" s="1"/>
  <c r="CD89" i="1"/>
  <c r="CB89" i="1"/>
  <c r="CA89" i="1"/>
  <c r="BY89" i="1"/>
  <c r="BV89" i="1"/>
  <c r="BS89" i="1"/>
  <c r="BQ89" i="1"/>
  <c r="BP89" i="1"/>
  <c r="BL89" i="1"/>
  <c r="BK89" i="1"/>
  <c r="BJ89" i="1"/>
  <c r="BI89" i="1"/>
  <c r="BH89" i="1"/>
  <c r="BG89" i="1"/>
  <c r="BF89" i="1"/>
  <c r="BE89" i="1"/>
  <c r="AZ89" i="1"/>
  <c r="AY89" i="1"/>
  <c r="AQ89" i="1"/>
  <c r="AN89" i="1"/>
  <c r="AO89" i="1" s="1"/>
  <c r="AL89" i="1"/>
  <c r="AJ89" i="1"/>
  <c r="AF89" i="1"/>
  <c r="AE89" i="1"/>
  <c r="AC89" i="1"/>
  <c r="U89" i="1"/>
  <c r="BT89" i="1" s="1"/>
  <c r="BW89" i="1" s="1"/>
  <c r="R89" i="1"/>
  <c r="Q89" i="1"/>
  <c r="W89" i="1" s="1"/>
  <c r="X89" i="1" s="1"/>
  <c r="P89" i="1"/>
  <c r="L89" i="1"/>
  <c r="C82" i="5" s="1"/>
  <c r="D89" i="1"/>
  <c r="C89" i="1"/>
  <c r="B89" i="1"/>
  <c r="A89" i="1"/>
  <c r="DD88" i="1"/>
  <c r="DB88" i="1" s="1"/>
  <c r="DC88" i="1"/>
  <c r="CY88" i="1"/>
  <c r="CV88" i="1"/>
  <c r="H81" i="5" s="1"/>
  <c r="CD88" i="1"/>
  <c r="CB88" i="1"/>
  <c r="CA88" i="1"/>
  <c r="BY88" i="1"/>
  <c r="BV88" i="1"/>
  <c r="BT88" i="1"/>
  <c r="BW88" i="1" s="1"/>
  <c r="BS88" i="1"/>
  <c r="BQ88" i="1"/>
  <c r="BP88" i="1"/>
  <c r="BL88" i="1"/>
  <c r="BK88" i="1"/>
  <c r="BJ88" i="1"/>
  <c r="BI88" i="1"/>
  <c r="BH88" i="1"/>
  <c r="BG88" i="1"/>
  <c r="BF88" i="1"/>
  <c r="BE88" i="1"/>
  <c r="AF88" i="1"/>
  <c r="AE88" i="1"/>
  <c r="AC88" i="1"/>
  <c r="U88" i="1"/>
  <c r="R88" i="1"/>
  <c r="Q88" i="1"/>
  <c r="P88" i="1"/>
  <c r="L88" i="1"/>
  <c r="C81" i="5" s="1"/>
  <c r="D88" i="1"/>
  <c r="C88" i="1"/>
  <c r="B88" i="1"/>
  <c r="A88" i="1"/>
  <c r="DD87" i="1"/>
  <c r="DC87" i="1"/>
  <c r="DB87" i="1"/>
  <c r="DA87" i="1"/>
  <c r="CZ87" i="1"/>
  <c r="CY87" i="1"/>
  <c r="CV87" i="1"/>
  <c r="H80" i="5" s="1"/>
  <c r="CD87" i="1"/>
  <c r="CA87" i="1"/>
  <c r="BY87" i="1"/>
  <c r="BS87" i="1"/>
  <c r="BV87" i="1" s="1"/>
  <c r="BQ87" i="1"/>
  <c r="BP87" i="1"/>
  <c r="BL87" i="1"/>
  <c r="BK87" i="1"/>
  <c r="BJ87" i="1"/>
  <c r="BI87" i="1"/>
  <c r="BH87" i="1"/>
  <c r="BG87" i="1"/>
  <c r="BF87" i="1"/>
  <c r="BE87" i="1"/>
  <c r="AE87" i="1"/>
  <c r="AF87" i="1" s="1"/>
  <c r="AC87" i="1"/>
  <c r="U87" i="1"/>
  <c r="R87" i="1"/>
  <c r="Q87" i="1"/>
  <c r="P87" i="1"/>
  <c r="L87" i="1"/>
  <c r="C80" i="5" s="1"/>
  <c r="D87" i="1"/>
  <c r="C87" i="1"/>
  <c r="B87" i="1"/>
  <c r="A87" i="1"/>
  <c r="DD86" i="1"/>
  <c r="CY86" i="1"/>
  <c r="CV86" i="1"/>
  <c r="H79" i="5" s="1"/>
  <c r="CD86" i="1"/>
  <c r="CA86" i="1"/>
  <c r="CB86" i="1" s="1"/>
  <c r="BY86" i="1"/>
  <c r="BS86" i="1"/>
  <c r="BV86" i="1" s="1"/>
  <c r="BQ86" i="1"/>
  <c r="BP86" i="1"/>
  <c r="BL86" i="1"/>
  <c r="BK86" i="1"/>
  <c r="BJ86" i="1"/>
  <c r="BI86" i="1"/>
  <c r="BH86" i="1"/>
  <c r="BG86" i="1"/>
  <c r="BF86" i="1"/>
  <c r="BE86" i="1"/>
  <c r="AO86" i="1"/>
  <c r="AN86" i="1"/>
  <c r="AL86" i="1"/>
  <c r="AJ86" i="1" s="1"/>
  <c r="AY86" i="1" s="1"/>
  <c r="AZ86" i="1" s="1"/>
  <c r="AE86" i="1"/>
  <c r="AF86" i="1" s="1"/>
  <c r="AC86" i="1"/>
  <c r="U86" i="1"/>
  <c r="V86" i="1" s="1"/>
  <c r="R86" i="1"/>
  <c r="Q86" i="1"/>
  <c r="W86" i="1" s="1"/>
  <c r="X86" i="1" s="1"/>
  <c r="P86" i="1"/>
  <c r="L86" i="1"/>
  <c r="C79" i="5" s="1"/>
  <c r="D86" i="1"/>
  <c r="C86" i="1"/>
  <c r="B86" i="1" s="1"/>
  <c r="A86" i="1"/>
  <c r="DD85" i="1"/>
  <c r="DC85" i="1" s="1"/>
  <c r="CY85" i="1"/>
  <c r="CV85" i="1"/>
  <c r="H78" i="5" s="1"/>
  <c r="CD85" i="1"/>
  <c r="CB85" i="1"/>
  <c r="CA85" i="1"/>
  <c r="BY85" i="1"/>
  <c r="BW85" i="1"/>
  <c r="BV85" i="1"/>
  <c r="BS85" i="1"/>
  <c r="BQ85" i="1"/>
  <c r="BP85" i="1"/>
  <c r="BL85" i="1"/>
  <c r="BK85" i="1"/>
  <c r="BJ85" i="1"/>
  <c r="BI85" i="1"/>
  <c r="BH85" i="1"/>
  <c r="BG85" i="1"/>
  <c r="BF85" i="1"/>
  <c r="BE85" i="1"/>
  <c r="AF85" i="1"/>
  <c r="AE85" i="1"/>
  <c r="AC85" i="1"/>
  <c r="W85" i="1"/>
  <c r="X85" i="1" s="1"/>
  <c r="U85" i="1"/>
  <c r="R85" i="1"/>
  <c r="Q85" i="1"/>
  <c r="V85" i="1" s="1"/>
  <c r="P85" i="1"/>
  <c r="L85" i="1"/>
  <c r="C78" i="5" s="1"/>
  <c r="D85" i="1"/>
  <c r="C85" i="1"/>
  <c r="B85" i="1" s="1"/>
  <c r="A85" i="1"/>
  <c r="DD84" i="1"/>
  <c r="DA84" i="1" s="1"/>
  <c r="DC84" i="1"/>
  <c r="DB84" i="1"/>
  <c r="CZ84" i="1"/>
  <c r="CY84" i="1"/>
  <c r="CV84" i="1"/>
  <c r="H77" i="5" s="1"/>
  <c r="CD84" i="1"/>
  <c r="CB84" i="1"/>
  <c r="CA84" i="1"/>
  <c r="BY84" i="1"/>
  <c r="BV84" i="1"/>
  <c r="BS84" i="1"/>
  <c r="BQ84" i="1"/>
  <c r="BP84" i="1"/>
  <c r="BL84" i="1"/>
  <c r="BK84" i="1"/>
  <c r="BJ84" i="1"/>
  <c r="BI84" i="1"/>
  <c r="BH84" i="1"/>
  <c r="BG84" i="1"/>
  <c r="BF84" i="1"/>
  <c r="BE84" i="1"/>
  <c r="AL84" i="1"/>
  <c r="AF84" i="1"/>
  <c r="AE84" i="1"/>
  <c r="AC84" i="1"/>
  <c r="Y84" i="1"/>
  <c r="AA84" i="1" s="1"/>
  <c r="W84" i="1"/>
  <c r="X84" i="1" s="1"/>
  <c r="V84" i="1"/>
  <c r="U84" i="1"/>
  <c r="BT84" i="1" s="1"/>
  <c r="R84" i="1"/>
  <c r="Q84" i="1"/>
  <c r="P84" i="1"/>
  <c r="L84" i="1"/>
  <c r="C77" i="5" s="1"/>
  <c r="D84" i="1"/>
  <c r="C84" i="1"/>
  <c r="B84" i="1"/>
  <c r="A84" i="1"/>
  <c r="DD83" i="1"/>
  <c r="CZ83" i="1" s="1"/>
  <c r="DC83" i="1"/>
  <c r="DB83" i="1"/>
  <c r="DA83" i="1"/>
  <c r="CY83" i="1"/>
  <c r="CV83" i="1"/>
  <c r="H76" i="5" s="1"/>
  <c r="CD83" i="1"/>
  <c r="CA83" i="1"/>
  <c r="CB83" i="1" s="1"/>
  <c r="BY83" i="1"/>
  <c r="BV83" i="1"/>
  <c r="BS83" i="1"/>
  <c r="BQ83" i="1"/>
  <c r="BP83" i="1"/>
  <c r="BL83" i="1"/>
  <c r="BK83" i="1"/>
  <c r="BJ83" i="1"/>
  <c r="BI83" i="1"/>
  <c r="BH83" i="1"/>
  <c r="BG83" i="1"/>
  <c r="BF83" i="1"/>
  <c r="BE83" i="1"/>
  <c r="AL83" i="1"/>
  <c r="AJ83" i="1" s="1"/>
  <c r="AK83" i="1" s="1"/>
  <c r="AE83" i="1"/>
  <c r="AF83" i="1" s="1"/>
  <c r="AC83" i="1"/>
  <c r="X83" i="1"/>
  <c r="CX83" i="1" s="1"/>
  <c r="U83" i="1"/>
  <c r="R83" i="1"/>
  <c r="Q83" i="1"/>
  <c r="W83" i="1" s="1"/>
  <c r="P83" i="1"/>
  <c r="L83" i="1"/>
  <c r="C76" i="5" s="1"/>
  <c r="D83" i="1"/>
  <c r="B83" i="1" s="1"/>
  <c r="C83" i="1"/>
  <c r="A83" i="1"/>
  <c r="DD82" i="1"/>
  <c r="DC82" i="1" s="1"/>
  <c r="DB82" i="1"/>
  <c r="DA82" i="1"/>
  <c r="CZ82" i="1"/>
  <c r="CY82" i="1"/>
  <c r="CV82" i="1"/>
  <c r="H75" i="5" s="1"/>
  <c r="CD82" i="1"/>
  <c r="CA82" i="1"/>
  <c r="CB82" i="1" s="1"/>
  <c r="BY82" i="1"/>
  <c r="BS82" i="1"/>
  <c r="BV82" i="1" s="1"/>
  <c r="BQ82" i="1"/>
  <c r="BP82" i="1"/>
  <c r="BL82" i="1"/>
  <c r="BK82" i="1"/>
  <c r="BJ82" i="1"/>
  <c r="BI82" i="1"/>
  <c r="BH82" i="1"/>
  <c r="BG82" i="1"/>
  <c r="BF82" i="1"/>
  <c r="BE82" i="1"/>
  <c r="AE82" i="1"/>
  <c r="AF82" i="1" s="1"/>
  <c r="C16" i="3" s="1"/>
  <c r="AC82" i="1"/>
  <c r="X82" i="1"/>
  <c r="W82" i="1"/>
  <c r="U82" i="1"/>
  <c r="V82" i="1" s="1"/>
  <c r="R82" i="1"/>
  <c r="Q82" i="1"/>
  <c r="P82" i="1"/>
  <c r="L82" i="1"/>
  <c r="C75" i="5" s="1"/>
  <c r="D82" i="1"/>
  <c r="C82" i="1"/>
  <c r="B82" i="1" s="1"/>
  <c r="A82" i="1"/>
  <c r="DD81" i="1"/>
  <c r="CZ81" i="1" s="1"/>
  <c r="CY81" i="1"/>
  <c r="CV81" i="1"/>
  <c r="H74" i="5" s="1"/>
  <c r="CD81" i="1"/>
  <c r="CB81" i="1"/>
  <c r="CA81" i="1"/>
  <c r="BY81" i="1"/>
  <c r="BW81" i="1"/>
  <c r="BV81" i="1"/>
  <c r="BS81" i="1"/>
  <c r="BQ81" i="1"/>
  <c r="BP81" i="1"/>
  <c r="BL81" i="1"/>
  <c r="BK81" i="1"/>
  <c r="BJ81" i="1"/>
  <c r="BI81" i="1"/>
  <c r="BH81" i="1"/>
  <c r="BG81" i="1"/>
  <c r="BF81" i="1"/>
  <c r="BE81" i="1"/>
  <c r="AQ81" i="1"/>
  <c r="AN81" i="1"/>
  <c r="AO81" i="1" s="1"/>
  <c r="AL81" i="1"/>
  <c r="AJ81" i="1"/>
  <c r="AY81" i="1" s="1"/>
  <c r="AZ81" i="1" s="1"/>
  <c r="AF81" i="1"/>
  <c r="AE81" i="1"/>
  <c r="AC81" i="1"/>
  <c r="U81" i="1"/>
  <c r="BT81" i="1" s="1"/>
  <c r="R81" i="1"/>
  <c r="Q81" i="1"/>
  <c r="W81" i="1" s="1"/>
  <c r="X81" i="1" s="1"/>
  <c r="P81" i="1"/>
  <c r="L81" i="1"/>
  <c r="C74" i="5" s="1"/>
  <c r="D81" i="1"/>
  <c r="C81" i="1"/>
  <c r="B81" i="1"/>
  <c r="A81" i="1"/>
  <c r="DD80" i="1"/>
  <c r="DB80" i="1" s="1"/>
  <c r="DC80" i="1"/>
  <c r="CY80" i="1"/>
  <c r="CV80" i="1"/>
  <c r="H73" i="5" s="1"/>
  <c r="CD80" i="1"/>
  <c r="CA80" i="1"/>
  <c r="BY80" i="1"/>
  <c r="BV80" i="1"/>
  <c r="BT80" i="1"/>
  <c r="BS80" i="1"/>
  <c r="BQ80" i="1"/>
  <c r="BP80" i="1"/>
  <c r="BL80" i="1"/>
  <c r="BK80" i="1"/>
  <c r="BJ80" i="1"/>
  <c r="BI80" i="1"/>
  <c r="BH80" i="1"/>
  <c r="BG80" i="1"/>
  <c r="BF80" i="1"/>
  <c r="BE80" i="1"/>
  <c r="AF80" i="1"/>
  <c r="AE80" i="1"/>
  <c r="AC80" i="1"/>
  <c r="V80" i="1"/>
  <c r="U80" i="1"/>
  <c r="R80" i="1"/>
  <c r="Q80" i="1"/>
  <c r="P80" i="1"/>
  <c r="L80" i="1"/>
  <c r="C73" i="5" s="1"/>
  <c r="D80" i="1"/>
  <c r="C80" i="1"/>
  <c r="B80" i="1"/>
  <c r="A80" i="1"/>
  <c r="DD79" i="1"/>
  <c r="DC79" i="1"/>
  <c r="DB79" i="1"/>
  <c r="DA79" i="1"/>
  <c r="CZ79" i="1"/>
  <c r="CY79" i="1"/>
  <c r="CV79" i="1"/>
  <c r="H72" i="5" s="1"/>
  <c r="CD79" i="1"/>
  <c r="CA79" i="1"/>
  <c r="CB79" i="1" s="1"/>
  <c r="BY79" i="1"/>
  <c r="BW79" i="1"/>
  <c r="BV79" i="1"/>
  <c r="BT79" i="1"/>
  <c r="BS79" i="1"/>
  <c r="BQ79" i="1"/>
  <c r="BP79" i="1"/>
  <c r="BL79" i="1"/>
  <c r="BK79" i="1"/>
  <c r="BJ79" i="1"/>
  <c r="BI79" i="1"/>
  <c r="BH79" i="1"/>
  <c r="BG79" i="1"/>
  <c r="BF79" i="1"/>
  <c r="BE79" i="1"/>
  <c r="AL79" i="1"/>
  <c r="AE79" i="1"/>
  <c r="AF79" i="1" s="1"/>
  <c r="AC79" i="1"/>
  <c r="U79" i="1"/>
  <c r="R79" i="1"/>
  <c r="Q79" i="1"/>
  <c r="P79" i="1"/>
  <c r="L79" i="1"/>
  <c r="C72" i="5" s="1"/>
  <c r="D79" i="1"/>
  <c r="C79" i="1"/>
  <c r="B79" i="1" s="1"/>
  <c r="A79" i="1"/>
  <c r="DD78" i="1"/>
  <c r="DA78" i="1"/>
  <c r="CY78" i="1"/>
  <c r="CV78" i="1"/>
  <c r="H71" i="5" s="1"/>
  <c r="CD78" i="1"/>
  <c r="CA78" i="1"/>
  <c r="CB78" i="1" s="1"/>
  <c r="BY78" i="1"/>
  <c r="BS78" i="1"/>
  <c r="BV78" i="1" s="1"/>
  <c r="BQ78" i="1"/>
  <c r="BP78" i="1"/>
  <c r="BL78" i="1"/>
  <c r="BK78" i="1"/>
  <c r="BJ78" i="1"/>
  <c r="BI78" i="1"/>
  <c r="BH78" i="1"/>
  <c r="BG78" i="1"/>
  <c r="BF78" i="1"/>
  <c r="BE78" i="1"/>
  <c r="AW78" i="1"/>
  <c r="AS78" i="1"/>
  <c r="AN78" i="1"/>
  <c r="AQ78" i="1" s="1"/>
  <c r="AL78" i="1"/>
  <c r="AJ78" i="1" s="1"/>
  <c r="AY78" i="1" s="1"/>
  <c r="AZ78" i="1" s="1"/>
  <c r="AF78" i="1"/>
  <c r="AE78" i="1"/>
  <c r="AC78" i="1"/>
  <c r="U78" i="1"/>
  <c r="BT78" i="1" s="1"/>
  <c r="R78" i="1"/>
  <c r="Q78" i="1"/>
  <c r="P78" i="1"/>
  <c r="L78" i="1"/>
  <c r="C71" i="5" s="1"/>
  <c r="D78" i="1"/>
  <c r="B78" i="1" s="1"/>
  <c r="C78" i="1"/>
  <c r="A78" i="1"/>
  <c r="DD77" i="1"/>
  <c r="DC77" i="1" s="1"/>
  <c r="CY77" i="1"/>
  <c r="CV77" i="1"/>
  <c r="H70" i="5" s="1"/>
  <c r="CD77" i="1"/>
  <c r="CB77" i="1"/>
  <c r="CA77" i="1"/>
  <c r="BY77" i="1"/>
  <c r="BS77" i="1"/>
  <c r="BV77" i="1" s="1"/>
  <c r="BQ77" i="1"/>
  <c r="BP77" i="1"/>
  <c r="BL77" i="1"/>
  <c r="BK77" i="1"/>
  <c r="BJ77" i="1"/>
  <c r="BI77" i="1"/>
  <c r="BH77" i="1"/>
  <c r="BG77" i="1"/>
  <c r="BF77" i="1"/>
  <c r="BE77" i="1"/>
  <c r="AN77" i="1"/>
  <c r="AL77" i="1"/>
  <c r="AJ77" i="1"/>
  <c r="AE77" i="1"/>
  <c r="AF77" i="1" s="1"/>
  <c r="AC77" i="1"/>
  <c r="U77" i="1"/>
  <c r="R77" i="1"/>
  <c r="Q77" i="1"/>
  <c r="W77" i="1" s="1"/>
  <c r="X77" i="1" s="1"/>
  <c r="P77" i="1"/>
  <c r="L77" i="1"/>
  <c r="C70" i="5" s="1"/>
  <c r="D77" i="1"/>
  <c r="C77" i="1"/>
  <c r="B77" i="1" s="1"/>
  <c r="A77" i="1"/>
  <c r="DD76" i="1"/>
  <c r="DA76" i="1" s="1"/>
  <c r="DC76" i="1"/>
  <c r="DB76" i="1"/>
  <c r="CZ76" i="1"/>
  <c r="CY76" i="1"/>
  <c r="CV76" i="1"/>
  <c r="H69" i="5" s="1"/>
  <c r="CD76" i="1"/>
  <c r="CA76" i="1"/>
  <c r="CB76" i="1" s="1"/>
  <c r="BY76" i="1"/>
  <c r="BW76" i="1"/>
  <c r="BV76" i="1"/>
  <c r="BS76" i="1"/>
  <c r="BQ76" i="1"/>
  <c r="BP76" i="1"/>
  <c r="BL76" i="1"/>
  <c r="BK76" i="1"/>
  <c r="BJ76" i="1"/>
  <c r="BI76" i="1"/>
  <c r="BH76" i="1"/>
  <c r="BG76" i="1"/>
  <c r="BF76" i="1"/>
  <c r="BE76" i="1"/>
  <c r="AL76" i="1"/>
  <c r="AF76" i="1"/>
  <c r="AE76" i="1"/>
  <c r="AC76" i="1"/>
  <c r="Y76" i="1"/>
  <c r="AA76" i="1" s="1"/>
  <c r="W76" i="1"/>
  <c r="X76" i="1" s="1"/>
  <c r="CX76" i="1" s="1"/>
  <c r="V76" i="1"/>
  <c r="U76" i="1"/>
  <c r="BT76" i="1" s="1"/>
  <c r="R76" i="1"/>
  <c r="Q76" i="1"/>
  <c r="P76" i="1"/>
  <c r="L76" i="1"/>
  <c r="C69" i="5" s="1"/>
  <c r="D76" i="1"/>
  <c r="C76" i="1"/>
  <c r="B76" i="1"/>
  <c r="A76" i="1"/>
  <c r="DD75" i="1"/>
  <c r="DB75" i="1"/>
  <c r="DA75" i="1"/>
  <c r="CY75" i="1"/>
  <c r="CV75" i="1"/>
  <c r="H68" i="5" s="1"/>
  <c r="CD75" i="1"/>
  <c r="CA75" i="1"/>
  <c r="CB75" i="1" s="1"/>
  <c r="BY75" i="1"/>
  <c r="BW75" i="1"/>
  <c r="BV75" i="1"/>
  <c r="BT75" i="1"/>
  <c r="BS75" i="1"/>
  <c r="BQ75" i="1"/>
  <c r="BP75" i="1"/>
  <c r="BL75" i="1"/>
  <c r="BK75" i="1"/>
  <c r="BJ75" i="1"/>
  <c r="BI75" i="1"/>
  <c r="BH75" i="1"/>
  <c r="BG75" i="1"/>
  <c r="BF75" i="1"/>
  <c r="BE75" i="1"/>
  <c r="AE75" i="1"/>
  <c r="AF75" i="1" s="1"/>
  <c r="AC75" i="1"/>
  <c r="U75" i="1"/>
  <c r="R75" i="1"/>
  <c r="Q75" i="1"/>
  <c r="W75" i="1" s="1"/>
  <c r="X75" i="1" s="1"/>
  <c r="P75" i="1"/>
  <c r="L75" i="1"/>
  <c r="C68" i="5" s="1"/>
  <c r="D75" i="1"/>
  <c r="B75" i="1" s="1"/>
  <c r="C75" i="1"/>
  <c r="A75" i="1"/>
  <c r="DD74" i="1"/>
  <c r="DB74" i="1" s="1"/>
  <c r="DC74" i="1"/>
  <c r="DA74" i="1"/>
  <c r="CZ74" i="1"/>
  <c r="CY74" i="1"/>
  <c r="CV74" i="1"/>
  <c r="H67" i="5" s="1"/>
  <c r="CD74" i="1"/>
  <c r="CB74" i="1"/>
  <c r="CA74" i="1"/>
  <c r="BY74" i="1"/>
  <c r="BW74" i="1"/>
  <c r="BV74" i="1"/>
  <c r="BS74" i="1"/>
  <c r="BQ74" i="1"/>
  <c r="BP74" i="1"/>
  <c r="BL74" i="1"/>
  <c r="BK74" i="1"/>
  <c r="BJ74" i="1"/>
  <c r="BI74" i="1"/>
  <c r="BH74" i="1"/>
  <c r="BG74" i="1"/>
  <c r="BF74" i="1"/>
  <c r="BE74" i="1"/>
  <c r="AE74" i="1"/>
  <c r="AF74" i="1" s="1"/>
  <c r="AC74" i="1"/>
  <c r="X74" i="1"/>
  <c r="W74" i="1"/>
  <c r="U74" i="1"/>
  <c r="V74" i="1" s="1"/>
  <c r="R74" i="1"/>
  <c r="Q74" i="1"/>
  <c r="P74" i="1"/>
  <c r="L74" i="1"/>
  <c r="C67" i="5" s="1"/>
  <c r="D74" i="1"/>
  <c r="C74" i="1"/>
  <c r="B74" i="1" s="1"/>
  <c r="A74" i="1"/>
  <c r="DD73" i="1"/>
  <c r="CY73" i="1"/>
  <c r="CV73" i="1"/>
  <c r="H66" i="5" s="1"/>
  <c r="CD73" i="1"/>
  <c r="CA73" i="1"/>
  <c r="CB73" i="1" s="1"/>
  <c r="BY73" i="1"/>
  <c r="BV73" i="1"/>
  <c r="BS73" i="1"/>
  <c r="BQ73" i="1"/>
  <c r="BP73" i="1"/>
  <c r="BL73" i="1"/>
  <c r="BK73" i="1"/>
  <c r="BJ73" i="1"/>
  <c r="BI73" i="1"/>
  <c r="BH73" i="1"/>
  <c r="BG73" i="1"/>
  <c r="BF73" i="1"/>
  <c r="BE73" i="1"/>
  <c r="AL73" i="1"/>
  <c r="AJ73" i="1"/>
  <c r="AF73" i="1"/>
  <c r="AE73" i="1"/>
  <c r="AC73" i="1"/>
  <c r="U73" i="1"/>
  <c r="BT73" i="1" s="1"/>
  <c r="BW73" i="1" s="1"/>
  <c r="R73" i="1"/>
  <c r="Q73" i="1"/>
  <c r="W73" i="1" s="1"/>
  <c r="X73" i="1" s="1"/>
  <c r="P73" i="1"/>
  <c r="L73" i="1"/>
  <c r="C66" i="5" s="1"/>
  <c r="D73" i="1"/>
  <c r="C73" i="1"/>
  <c r="B73" i="1"/>
  <c r="A73" i="1"/>
  <c r="DD72" i="1"/>
  <c r="DB72" i="1" s="1"/>
  <c r="DC72" i="1"/>
  <c r="DA72" i="1"/>
  <c r="CY72" i="1"/>
  <c r="CV72" i="1"/>
  <c r="H65" i="5" s="1"/>
  <c r="CD72" i="1"/>
  <c r="CB72" i="1"/>
  <c r="CA72" i="1"/>
  <c r="BY72" i="1"/>
  <c r="BV72" i="1"/>
  <c r="BS72" i="1"/>
  <c r="BQ72" i="1"/>
  <c r="BP72" i="1"/>
  <c r="BL72" i="1"/>
  <c r="BK72" i="1"/>
  <c r="BJ72" i="1"/>
  <c r="BI72" i="1"/>
  <c r="BH72" i="1"/>
  <c r="BG72" i="1"/>
  <c r="BF72" i="1"/>
  <c r="BE72" i="1"/>
  <c r="AE72" i="1"/>
  <c r="AF72" i="1" s="1"/>
  <c r="AC72" i="1"/>
  <c r="U72" i="1"/>
  <c r="R72" i="1"/>
  <c r="Q72" i="1"/>
  <c r="W72" i="1" s="1"/>
  <c r="X72" i="1" s="1"/>
  <c r="P72" i="1"/>
  <c r="L72" i="1"/>
  <c r="C65" i="5" s="1"/>
  <c r="D72" i="1"/>
  <c r="B72" i="1" s="1"/>
  <c r="C72" i="1"/>
  <c r="A72" i="1"/>
  <c r="DD71" i="1"/>
  <c r="DC71" i="1"/>
  <c r="DB71" i="1"/>
  <c r="DA71" i="1"/>
  <c r="CZ71" i="1"/>
  <c r="CY71" i="1"/>
  <c r="CV71" i="1"/>
  <c r="H64" i="5" s="1"/>
  <c r="CD71" i="1"/>
  <c r="CA71" i="1"/>
  <c r="CB71" i="1" s="1"/>
  <c r="BY71" i="1"/>
  <c r="BS71" i="1"/>
  <c r="BV71" i="1" s="1"/>
  <c r="BQ71" i="1"/>
  <c r="BP71" i="1"/>
  <c r="BL71" i="1"/>
  <c r="BK71" i="1"/>
  <c r="BJ71" i="1"/>
  <c r="BI71" i="1"/>
  <c r="BH71" i="1"/>
  <c r="BG71" i="1"/>
  <c r="BF71" i="1"/>
  <c r="BE71" i="1"/>
  <c r="AE71" i="1"/>
  <c r="AF71" i="1" s="1"/>
  <c r="AC71" i="1"/>
  <c r="U71" i="1"/>
  <c r="R71" i="1"/>
  <c r="Q71" i="1"/>
  <c r="P71" i="1"/>
  <c r="L71" i="1"/>
  <c r="C64" i="5" s="1"/>
  <c r="D71" i="1"/>
  <c r="C71" i="1"/>
  <c r="B71" i="1" s="1"/>
  <c r="A71" i="1"/>
  <c r="DD70" i="1"/>
  <c r="CY70" i="1"/>
  <c r="CV70" i="1"/>
  <c r="H63" i="5" s="1"/>
  <c r="CD70" i="1"/>
  <c r="CA70" i="1"/>
  <c r="CB70" i="1" s="1"/>
  <c r="BY70" i="1"/>
  <c r="BW70" i="1"/>
  <c r="BV70" i="1"/>
  <c r="BS70" i="1"/>
  <c r="BQ70" i="1"/>
  <c r="BP70" i="1"/>
  <c r="BL70" i="1"/>
  <c r="BK70" i="1"/>
  <c r="BJ70" i="1"/>
  <c r="BI70" i="1"/>
  <c r="BH70" i="1"/>
  <c r="BG70" i="1"/>
  <c r="BF70" i="1"/>
  <c r="BE70" i="1"/>
  <c r="AY70" i="1"/>
  <c r="AZ70" i="1" s="1"/>
  <c r="AQ70" i="1"/>
  <c r="AN70" i="1"/>
  <c r="AO70" i="1" s="1"/>
  <c r="AL70" i="1"/>
  <c r="AJ70" i="1"/>
  <c r="AW70" i="1" s="1"/>
  <c r="AF70" i="1"/>
  <c r="AE70" i="1"/>
  <c r="AC70" i="1"/>
  <c r="U70" i="1"/>
  <c r="BT70" i="1" s="1"/>
  <c r="R70" i="1"/>
  <c r="Q70" i="1"/>
  <c r="P70" i="1"/>
  <c r="L70" i="1"/>
  <c r="C63" i="5" s="1"/>
  <c r="D70" i="1"/>
  <c r="C70" i="1"/>
  <c r="B70" i="1" s="1"/>
  <c r="A70" i="1"/>
  <c r="DD69" i="1"/>
  <c r="DB69" i="1" s="1"/>
  <c r="DC69" i="1"/>
  <c r="CZ69" i="1"/>
  <c r="CY69" i="1"/>
  <c r="CV69" i="1"/>
  <c r="H62" i="5" s="1"/>
  <c r="CD69" i="1"/>
  <c r="CB69" i="1"/>
  <c r="CA69" i="1"/>
  <c r="BY69" i="1"/>
  <c r="BV69" i="1"/>
  <c r="BS69" i="1"/>
  <c r="BQ69" i="1"/>
  <c r="BP69" i="1"/>
  <c r="BL69" i="1"/>
  <c r="BK69" i="1"/>
  <c r="BJ69" i="1"/>
  <c r="BI69" i="1"/>
  <c r="BH69" i="1"/>
  <c r="BG69" i="1"/>
  <c r="BF69" i="1"/>
  <c r="BE69" i="1"/>
  <c r="AE69" i="1"/>
  <c r="AF69" i="1" s="1"/>
  <c r="AC69" i="1"/>
  <c r="U69" i="1"/>
  <c r="R69" i="1"/>
  <c r="Q69" i="1"/>
  <c r="W69" i="1" s="1"/>
  <c r="X69" i="1" s="1"/>
  <c r="P69" i="1"/>
  <c r="L69" i="1"/>
  <c r="C62" i="5" s="1"/>
  <c r="D69" i="1"/>
  <c r="C69" i="1"/>
  <c r="B69" i="1" s="1"/>
  <c r="A69" i="1"/>
  <c r="DD68" i="1"/>
  <c r="DA68" i="1" s="1"/>
  <c r="DC68" i="1"/>
  <c r="DB68" i="1"/>
  <c r="CZ68" i="1"/>
  <c r="CY68" i="1"/>
  <c r="CV68" i="1"/>
  <c r="H61" i="5" s="1"/>
  <c r="CD68" i="1"/>
  <c r="CA68" i="1"/>
  <c r="CB68" i="1" s="1"/>
  <c r="BY68" i="1"/>
  <c r="BW68" i="1"/>
  <c r="BT68" i="1"/>
  <c r="BS68" i="1"/>
  <c r="BV68" i="1" s="1"/>
  <c r="BQ68" i="1"/>
  <c r="BP68" i="1"/>
  <c r="BL68" i="1"/>
  <c r="BK68" i="1"/>
  <c r="BJ68" i="1"/>
  <c r="BI68" i="1"/>
  <c r="BH68" i="1"/>
  <c r="BG68" i="1"/>
  <c r="BF68" i="1"/>
  <c r="BE68" i="1"/>
  <c r="AL68" i="1"/>
  <c r="AJ68" i="1" s="1"/>
  <c r="AE68" i="1"/>
  <c r="AF68" i="1" s="1"/>
  <c r="AC68" i="1"/>
  <c r="V68" i="1"/>
  <c r="U68" i="1"/>
  <c r="R68" i="1"/>
  <c r="Q68" i="1"/>
  <c r="P68" i="1"/>
  <c r="L68" i="1"/>
  <c r="C61" i="5" s="1"/>
  <c r="D68" i="1"/>
  <c r="C68" i="1"/>
  <c r="B68" i="1"/>
  <c r="A68" i="1"/>
  <c r="DD67" i="1"/>
  <c r="DB67" i="1"/>
  <c r="DA67" i="1"/>
  <c r="CY67" i="1"/>
  <c r="CV67" i="1"/>
  <c r="H60" i="5" s="1"/>
  <c r="CD67" i="1"/>
  <c r="CA67" i="1"/>
  <c r="CB67" i="1" s="1"/>
  <c r="BY67" i="1"/>
  <c r="BV67" i="1"/>
  <c r="BT67" i="1"/>
  <c r="BW67" i="1" s="1"/>
  <c r="BS67" i="1"/>
  <c r="BQ67" i="1"/>
  <c r="BP67" i="1"/>
  <c r="BL67" i="1"/>
  <c r="BK67" i="1"/>
  <c r="BJ67" i="1"/>
  <c r="BI67" i="1"/>
  <c r="BH67" i="1"/>
  <c r="BG67" i="1"/>
  <c r="BF67" i="1"/>
  <c r="BE67" i="1"/>
  <c r="AN67" i="1"/>
  <c r="AL67" i="1"/>
  <c r="AF67" i="1"/>
  <c r="AE67" i="1"/>
  <c r="AC67" i="1"/>
  <c r="V67" i="1"/>
  <c r="U67" i="1"/>
  <c r="R67" i="1"/>
  <c r="Q67" i="1"/>
  <c r="P67" i="1"/>
  <c r="L67" i="1"/>
  <c r="C60" i="5" s="1"/>
  <c r="D67" i="1"/>
  <c r="C67" i="1"/>
  <c r="B67" i="1"/>
  <c r="A67" i="1"/>
  <c r="DD66" i="1"/>
  <c r="DB66" i="1" s="1"/>
  <c r="CY66" i="1"/>
  <c r="CV66" i="1"/>
  <c r="H59" i="5" s="1"/>
  <c r="CD66" i="1"/>
  <c r="CA66" i="1"/>
  <c r="BY66" i="1"/>
  <c r="BS66" i="1"/>
  <c r="BV66" i="1" s="1"/>
  <c r="BQ66" i="1"/>
  <c r="BP66" i="1"/>
  <c r="BL66" i="1"/>
  <c r="BK66" i="1"/>
  <c r="BJ66" i="1"/>
  <c r="BI66" i="1"/>
  <c r="BH66" i="1"/>
  <c r="BG66" i="1"/>
  <c r="BF66" i="1"/>
  <c r="BE66" i="1"/>
  <c r="AL66" i="1"/>
  <c r="AE66" i="1"/>
  <c r="AF66" i="1" s="1"/>
  <c r="AC66" i="1"/>
  <c r="U66" i="1"/>
  <c r="V66" i="1" s="1"/>
  <c r="R66" i="1"/>
  <c r="Q66" i="1"/>
  <c r="P66" i="1"/>
  <c r="L66" i="1"/>
  <c r="C59" i="5" s="1"/>
  <c r="D66" i="1"/>
  <c r="C66" i="1"/>
  <c r="B66" i="1" s="1"/>
  <c r="A66" i="1"/>
  <c r="DD65" i="1"/>
  <c r="DC65" i="1" s="1"/>
  <c r="CY65" i="1"/>
  <c r="CV65" i="1"/>
  <c r="H58" i="5" s="1"/>
  <c r="CD65" i="1"/>
  <c r="CB65" i="1"/>
  <c r="CA65" i="1"/>
  <c r="BY65" i="1"/>
  <c r="BW65" i="1"/>
  <c r="BS65" i="1"/>
  <c r="BV65" i="1" s="1"/>
  <c r="BQ65" i="1"/>
  <c r="BP65" i="1"/>
  <c r="BL65" i="1"/>
  <c r="BK65" i="1"/>
  <c r="BJ65" i="1"/>
  <c r="BI65" i="1"/>
  <c r="BH65" i="1"/>
  <c r="BG65" i="1"/>
  <c r="BF65" i="1"/>
  <c r="BE65" i="1"/>
  <c r="AL65" i="1"/>
  <c r="AF65" i="1"/>
  <c r="AE65" i="1"/>
  <c r="AC65" i="1"/>
  <c r="Y65" i="1"/>
  <c r="AA65" i="1" s="1"/>
  <c r="W65" i="1"/>
  <c r="X65" i="1" s="1"/>
  <c r="CX65" i="1" s="1"/>
  <c r="U65" i="1"/>
  <c r="BT65" i="1" s="1"/>
  <c r="R65" i="1"/>
  <c r="Q65" i="1"/>
  <c r="V65" i="1" s="1"/>
  <c r="P65" i="1"/>
  <c r="L65" i="1"/>
  <c r="C58" i="5" s="1"/>
  <c r="D65" i="1"/>
  <c r="C65" i="1"/>
  <c r="B65" i="1" s="1"/>
  <c r="A65" i="1"/>
  <c r="DD64" i="1"/>
  <c r="DC64" i="1" s="1"/>
  <c r="DB64" i="1"/>
  <c r="DA64" i="1"/>
  <c r="CY64" i="1"/>
  <c r="CV64" i="1"/>
  <c r="H57" i="5" s="1"/>
  <c r="CD64" i="1"/>
  <c r="CA64" i="1"/>
  <c r="CB64" i="1" s="1"/>
  <c r="BY64" i="1"/>
  <c r="BV64" i="1"/>
  <c r="BS64" i="1"/>
  <c r="BQ64" i="1"/>
  <c r="BP64" i="1"/>
  <c r="BL64" i="1"/>
  <c r="BK64" i="1"/>
  <c r="BJ64" i="1"/>
  <c r="BI64" i="1"/>
  <c r="BH64" i="1"/>
  <c r="BG64" i="1"/>
  <c r="BF64" i="1"/>
  <c r="BE64" i="1"/>
  <c r="AL64" i="1"/>
  <c r="AJ64" i="1"/>
  <c r="AF64" i="1"/>
  <c r="AE64" i="1"/>
  <c r="AC64" i="1"/>
  <c r="W64" i="1"/>
  <c r="X64" i="1" s="1"/>
  <c r="V64" i="1"/>
  <c r="U64" i="1"/>
  <c r="BT64" i="1" s="1"/>
  <c r="BW64" i="1" s="1"/>
  <c r="R64" i="1"/>
  <c r="Q64" i="1"/>
  <c r="P64" i="1"/>
  <c r="L64" i="1"/>
  <c r="C57" i="5" s="1"/>
  <c r="D64" i="1"/>
  <c r="C64" i="1"/>
  <c r="B64" i="1"/>
  <c r="A64" i="1"/>
  <c r="DD63" i="1"/>
  <c r="DC63" i="1"/>
  <c r="DB63" i="1"/>
  <c r="DA63" i="1"/>
  <c r="CZ63" i="1"/>
  <c r="CY63" i="1"/>
  <c r="CV63" i="1"/>
  <c r="H56" i="5" s="1"/>
  <c r="CD63" i="1"/>
  <c r="CA63" i="1"/>
  <c r="CB63" i="1" s="1"/>
  <c r="BY63" i="1"/>
  <c r="BV63" i="1"/>
  <c r="BT63" i="1"/>
  <c r="BW63" i="1" s="1"/>
  <c r="BS63" i="1"/>
  <c r="BQ63" i="1"/>
  <c r="BP63" i="1"/>
  <c r="BL63" i="1"/>
  <c r="BK63" i="1"/>
  <c r="BJ63" i="1"/>
  <c r="BI63" i="1"/>
  <c r="BH63" i="1"/>
  <c r="BG63" i="1"/>
  <c r="BF63" i="1"/>
  <c r="BE63" i="1"/>
  <c r="AL63" i="1"/>
  <c r="AF63" i="1"/>
  <c r="AE63" i="1"/>
  <c r="AC63" i="1"/>
  <c r="U63" i="1"/>
  <c r="R63" i="1"/>
  <c r="Q63" i="1"/>
  <c r="P63" i="1"/>
  <c r="L63" i="1"/>
  <c r="C56" i="5" s="1"/>
  <c r="D63" i="1"/>
  <c r="B63" i="1" s="1"/>
  <c r="C63" i="1"/>
  <c r="A63" i="1"/>
  <c r="DD62" i="1"/>
  <c r="DC62" i="1" s="1"/>
  <c r="DB62" i="1"/>
  <c r="DA62" i="1"/>
  <c r="CZ62" i="1"/>
  <c r="CY62" i="1"/>
  <c r="CV62" i="1"/>
  <c r="H55" i="5" s="1"/>
  <c r="CD62" i="1"/>
  <c r="CA62" i="1"/>
  <c r="BY62" i="1"/>
  <c r="BV62" i="1"/>
  <c r="BS62" i="1"/>
  <c r="BQ62" i="1"/>
  <c r="BP62" i="1"/>
  <c r="BL62" i="1"/>
  <c r="BK62" i="1"/>
  <c r="BJ62" i="1"/>
  <c r="BI62" i="1"/>
  <c r="BH62" i="1"/>
  <c r="BG62" i="1"/>
  <c r="BF62" i="1"/>
  <c r="BE62" i="1"/>
  <c r="AE62" i="1"/>
  <c r="AF62" i="1" s="1"/>
  <c r="AC62" i="1"/>
  <c r="U62" i="1"/>
  <c r="R62" i="1"/>
  <c r="Q62" i="1"/>
  <c r="W62" i="1" s="1"/>
  <c r="X62" i="1" s="1"/>
  <c r="P62" i="1"/>
  <c r="L62" i="1"/>
  <c r="C55" i="5" s="1"/>
  <c r="D62" i="1"/>
  <c r="C62" i="1"/>
  <c r="B62" i="1" s="1"/>
  <c r="A62" i="1"/>
  <c r="DD61" i="1"/>
  <c r="DC61" i="1"/>
  <c r="CY61" i="1"/>
  <c r="CV61" i="1"/>
  <c r="H54" i="5" s="1"/>
  <c r="CD61" i="1"/>
  <c r="CB61" i="1"/>
  <c r="CA61" i="1"/>
  <c r="BY61" i="1"/>
  <c r="BW61" i="1"/>
  <c r="BV61" i="1"/>
  <c r="BT61" i="1"/>
  <c r="BS61" i="1"/>
  <c r="BQ61" i="1"/>
  <c r="BP61" i="1"/>
  <c r="BL61" i="1"/>
  <c r="BK61" i="1"/>
  <c r="BJ61" i="1"/>
  <c r="BI61" i="1"/>
  <c r="BH61" i="1"/>
  <c r="BG61" i="1"/>
  <c r="BF61" i="1"/>
  <c r="BE61" i="1"/>
  <c r="AL61" i="1"/>
  <c r="AN61" i="1" s="1"/>
  <c r="AJ61" i="1"/>
  <c r="AF61" i="1"/>
  <c r="AE61" i="1"/>
  <c r="AC61" i="1"/>
  <c r="W61" i="1"/>
  <c r="X61" i="1" s="1"/>
  <c r="U61" i="1"/>
  <c r="R61" i="1"/>
  <c r="Q61" i="1"/>
  <c r="V61" i="1" s="1"/>
  <c r="P61" i="1"/>
  <c r="L61" i="1"/>
  <c r="C54" i="5" s="1"/>
  <c r="D61" i="1"/>
  <c r="C61" i="1"/>
  <c r="B61" i="1" s="1"/>
  <c r="A61" i="1"/>
  <c r="DD60" i="1"/>
  <c r="DC60" i="1" s="1"/>
  <c r="DB60" i="1"/>
  <c r="DA60" i="1"/>
  <c r="CZ60" i="1"/>
  <c r="CY60" i="1"/>
  <c r="CV60" i="1"/>
  <c r="H53" i="5" s="1"/>
  <c r="CD60" i="1"/>
  <c r="CA60" i="1"/>
  <c r="CB60" i="1" s="1"/>
  <c r="BY60" i="1"/>
  <c r="BW60" i="1"/>
  <c r="BV60" i="1"/>
  <c r="BS60" i="1"/>
  <c r="BQ60" i="1"/>
  <c r="BP60" i="1"/>
  <c r="BL60" i="1"/>
  <c r="BK60" i="1"/>
  <c r="BJ60" i="1"/>
  <c r="BI60" i="1"/>
  <c r="BH60" i="1"/>
  <c r="BG60" i="1"/>
  <c r="BF60" i="1"/>
  <c r="BE60" i="1"/>
  <c r="AL60" i="1"/>
  <c r="AN60" i="1" s="1"/>
  <c r="AO60" i="1" s="1"/>
  <c r="AJ60" i="1"/>
  <c r="AF60" i="1"/>
  <c r="AE60" i="1"/>
  <c r="AC60" i="1"/>
  <c r="W60" i="1"/>
  <c r="X60" i="1" s="1"/>
  <c r="V60" i="1"/>
  <c r="U60" i="1"/>
  <c r="BT60" i="1" s="1"/>
  <c r="R60" i="1"/>
  <c r="Q60" i="1"/>
  <c r="P60" i="1"/>
  <c r="L60" i="1"/>
  <c r="C53" i="5" s="1"/>
  <c r="D60" i="1"/>
  <c r="C60" i="1"/>
  <c r="B60" i="1"/>
  <c r="A60" i="1"/>
  <c r="DD59" i="1"/>
  <c r="DC59" i="1"/>
  <c r="DB59" i="1"/>
  <c r="DA59" i="1"/>
  <c r="CZ59" i="1"/>
  <c r="CY59" i="1"/>
  <c r="CV59" i="1"/>
  <c r="H52" i="5" s="1"/>
  <c r="CD59" i="1"/>
  <c r="CB59" i="1"/>
  <c r="CA59" i="1"/>
  <c r="BY59" i="1"/>
  <c r="BW59" i="1"/>
  <c r="BV59" i="1"/>
  <c r="BT59" i="1"/>
  <c r="BS59" i="1"/>
  <c r="BQ59" i="1"/>
  <c r="BP59" i="1"/>
  <c r="BL59" i="1"/>
  <c r="BK59" i="1"/>
  <c r="BJ59" i="1"/>
  <c r="BI59" i="1"/>
  <c r="BH59" i="1"/>
  <c r="BG59" i="1"/>
  <c r="BF59" i="1"/>
  <c r="BE59" i="1"/>
  <c r="AE59" i="1"/>
  <c r="AF59" i="1" s="1"/>
  <c r="AC59" i="1"/>
  <c r="U59" i="1"/>
  <c r="R59" i="1"/>
  <c r="Q59" i="1"/>
  <c r="P59" i="1"/>
  <c r="L59" i="1"/>
  <c r="C52" i="5" s="1"/>
  <c r="D59" i="1"/>
  <c r="B59" i="1" s="1"/>
  <c r="C59" i="1"/>
  <c r="A59" i="1"/>
  <c r="DD58" i="1"/>
  <c r="DC58" i="1" s="1"/>
  <c r="DB58" i="1"/>
  <c r="DA58" i="1"/>
  <c r="CZ58" i="1"/>
  <c r="CY58" i="1"/>
  <c r="CV58" i="1"/>
  <c r="H51" i="5" s="1"/>
  <c r="CD58" i="1"/>
  <c r="CA58" i="1"/>
  <c r="CB58" i="1" s="1"/>
  <c r="BY58" i="1"/>
  <c r="BV58" i="1"/>
  <c r="BT58" i="1"/>
  <c r="BW58" i="1" s="1"/>
  <c r="BS58" i="1"/>
  <c r="BQ58" i="1"/>
  <c r="BP58" i="1"/>
  <c r="BL58" i="1"/>
  <c r="BK58" i="1"/>
  <c r="BJ58" i="1"/>
  <c r="BI58" i="1"/>
  <c r="BH58" i="1"/>
  <c r="BG58" i="1"/>
  <c r="BF58" i="1"/>
  <c r="BE58" i="1"/>
  <c r="AE58" i="1"/>
  <c r="AF58" i="1" s="1"/>
  <c r="AC58" i="1"/>
  <c r="W58" i="1"/>
  <c r="X58" i="1" s="1"/>
  <c r="Y58" i="1" s="1"/>
  <c r="U58" i="1"/>
  <c r="R58" i="1"/>
  <c r="Q58" i="1"/>
  <c r="P58" i="1"/>
  <c r="L58" i="1"/>
  <c r="C51" i="5" s="1"/>
  <c r="D58" i="1"/>
  <c r="C58" i="1"/>
  <c r="B58" i="1" s="1"/>
  <c r="A58" i="1"/>
  <c r="DD57" i="1"/>
  <c r="CY57" i="1"/>
  <c r="CV57" i="1"/>
  <c r="H50" i="5" s="1"/>
  <c r="CD57" i="1"/>
  <c r="CB57" i="1"/>
  <c r="CA57" i="1"/>
  <c r="BY57" i="1"/>
  <c r="BT57" i="1"/>
  <c r="BW57" i="1" s="1"/>
  <c r="BS57" i="1"/>
  <c r="BV57" i="1" s="1"/>
  <c r="BQ57" i="1"/>
  <c r="BP57" i="1"/>
  <c r="BL57" i="1"/>
  <c r="BK57" i="1"/>
  <c r="BJ57" i="1"/>
  <c r="BI57" i="1"/>
  <c r="BH57" i="1"/>
  <c r="BG57" i="1"/>
  <c r="BF57" i="1"/>
  <c r="BE57" i="1"/>
  <c r="AF57" i="1"/>
  <c r="AE57" i="1"/>
  <c r="AC57" i="1"/>
  <c r="U57" i="1"/>
  <c r="R57" i="1"/>
  <c r="Q57" i="1"/>
  <c r="W57" i="1" s="1"/>
  <c r="X57" i="1" s="1"/>
  <c r="Y57" i="1" s="1"/>
  <c r="Z57" i="1" s="1"/>
  <c r="P57" i="1"/>
  <c r="L57" i="1"/>
  <c r="C50" i="5" s="1"/>
  <c r="D57" i="1"/>
  <c r="C57" i="1"/>
  <c r="B57" i="1"/>
  <c r="A57" i="1"/>
  <c r="DD56" i="1"/>
  <c r="DC56" i="1"/>
  <c r="CY56" i="1"/>
  <c r="CV56" i="1"/>
  <c r="H49" i="5" s="1"/>
  <c r="CD56" i="1"/>
  <c r="CB56" i="1"/>
  <c r="CA56" i="1"/>
  <c r="BY56" i="1"/>
  <c r="BW56" i="1"/>
  <c r="BV56" i="1"/>
  <c r="BS56" i="1"/>
  <c r="BQ56" i="1"/>
  <c r="BP56" i="1"/>
  <c r="BL56" i="1"/>
  <c r="BK56" i="1"/>
  <c r="BJ56" i="1"/>
  <c r="BI56" i="1"/>
  <c r="BH56" i="1"/>
  <c r="BG56" i="1"/>
  <c r="BF56" i="1"/>
  <c r="BE56" i="1"/>
  <c r="AE56" i="1"/>
  <c r="AF56" i="1" s="1"/>
  <c r="AC56" i="1"/>
  <c r="AA56" i="1"/>
  <c r="Z56" i="1"/>
  <c r="U56" i="1"/>
  <c r="R56" i="1"/>
  <c r="Q56" i="1"/>
  <c r="W56" i="1" s="1"/>
  <c r="X56" i="1" s="1"/>
  <c r="Y56" i="1" s="1"/>
  <c r="P56" i="1"/>
  <c r="L56" i="1"/>
  <c r="C49" i="5" s="1"/>
  <c r="D56" i="1"/>
  <c r="C56" i="1"/>
  <c r="B56" i="1" s="1"/>
  <c r="A56" i="1"/>
  <c r="DD55" i="1"/>
  <c r="DC55" i="1"/>
  <c r="DB55" i="1"/>
  <c r="CY55" i="1"/>
  <c r="CV55" i="1"/>
  <c r="H48" i="5" s="1"/>
  <c r="CD55" i="1"/>
  <c r="CA55" i="1"/>
  <c r="CB55" i="1" s="1"/>
  <c r="BY55" i="1"/>
  <c r="BW55" i="1"/>
  <c r="BV55" i="1"/>
  <c r="BS55" i="1"/>
  <c r="BQ55" i="1"/>
  <c r="BP55" i="1"/>
  <c r="BL55" i="1"/>
  <c r="BK55" i="1"/>
  <c r="BJ55" i="1"/>
  <c r="BI55" i="1"/>
  <c r="BH55" i="1"/>
  <c r="BG55" i="1"/>
  <c r="BF55" i="1"/>
  <c r="BE55" i="1"/>
  <c r="AL55" i="1"/>
  <c r="AF55" i="1"/>
  <c r="AE55" i="1"/>
  <c r="AC55" i="1"/>
  <c r="U55" i="1"/>
  <c r="BT55" i="1" s="1"/>
  <c r="R55" i="1"/>
  <c r="Q55" i="1"/>
  <c r="P55" i="1"/>
  <c r="L55" i="1"/>
  <c r="C48" i="5" s="1"/>
  <c r="D55" i="1"/>
  <c r="C55" i="1"/>
  <c r="B55" i="1"/>
  <c r="A55" i="1"/>
  <c r="DD54" i="1"/>
  <c r="CZ54" i="1" s="1"/>
  <c r="DC54" i="1"/>
  <c r="CY54" i="1"/>
  <c r="CV54" i="1"/>
  <c r="H47" i="5" s="1"/>
  <c r="CD54" i="1"/>
  <c r="CA54" i="1"/>
  <c r="CB54" i="1" s="1"/>
  <c r="BY54" i="1"/>
  <c r="BS54" i="1"/>
  <c r="BV54" i="1" s="1"/>
  <c r="BQ54" i="1"/>
  <c r="BP54" i="1"/>
  <c r="BL54" i="1"/>
  <c r="BK54" i="1"/>
  <c r="BJ54" i="1"/>
  <c r="BI54" i="1"/>
  <c r="BH54" i="1"/>
  <c r="BG54" i="1"/>
  <c r="BF54" i="1"/>
  <c r="BE54" i="1"/>
  <c r="AE54" i="1"/>
  <c r="AF54" i="1" s="1"/>
  <c r="AC54" i="1"/>
  <c r="U54" i="1"/>
  <c r="R54" i="1"/>
  <c r="Q54" i="1"/>
  <c r="W54" i="1" s="1"/>
  <c r="X54" i="1" s="1"/>
  <c r="P54" i="1"/>
  <c r="L54" i="1"/>
  <c r="C47" i="5" s="1"/>
  <c r="D54" i="1"/>
  <c r="C54" i="1"/>
  <c r="B54" i="1" s="1"/>
  <c r="A54" i="1"/>
  <c r="DD53" i="1"/>
  <c r="DC53" i="1"/>
  <c r="DB53" i="1"/>
  <c r="DA53" i="1"/>
  <c r="CZ53" i="1"/>
  <c r="CY53" i="1"/>
  <c r="CV53" i="1"/>
  <c r="H46" i="5" s="1"/>
  <c r="CD53" i="1"/>
  <c r="CA53" i="1"/>
  <c r="CB53" i="1" s="1"/>
  <c r="BY53" i="1"/>
  <c r="BS53" i="1"/>
  <c r="BV53" i="1" s="1"/>
  <c r="BQ53" i="1"/>
  <c r="BP53" i="1"/>
  <c r="BL53" i="1"/>
  <c r="BK53" i="1"/>
  <c r="BJ53" i="1"/>
  <c r="BI53" i="1"/>
  <c r="BH53" i="1"/>
  <c r="BG53" i="1"/>
  <c r="BF53" i="1"/>
  <c r="BE53" i="1"/>
  <c r="AL53" i="1"/>
  <c r="AN53" i="1" s="1"/>
  <c r="AJ53" i="1"/>
  <c r="AY53" i="1" s="1"/>
  <c r="AZ53" i="1" s="1"/>
  <c r="AF53" i="1"/>
  <c r="AE53" i="1"/>
  <c r="AC53" i="1"/>
  <c r="W53" i="1"/>
  <c r="X53" i="1" s="1"/>
  <c r="U53" i="1"/>
  <c r="BT53" i="1" s="1"/>
  <c r="BW53" i="1" s="1"/>
  <c r="R53" i="1"/>
  <c r="Q53" i="1"/>
  <c r="V53" i="1" s="1"/>
  <c r="P53" i="1"/>
  <c r="L53" i="1"/>
  <c r="C46" i="5" s="1"/>
  <c r="D53" i="1"/>
  <c r="C53" i="1"/>
  <c r="B53" i="1" s="1"/>
  <c r="A53" i="1"/>
  <c r="DD52" i="1"/>
  <c r="DC52" i="1" s="1"/>
  <c r="DB52" i="1"/>
  <c r="CY52" i="1"/>
  <c r="CV52" i="1"/>
  <c r="H45" i="5" s="1"/>
  <c r="CD52" i="1"/>
  <c r="CA52" i="1"/>
  <c r="CB52" i="1" s="1"/>
  <c r="BY52" i="1"/>
  <c r="BW52" i="1"/>
  <c r="BV52" i="1"/>
  <c r="BS52" i="1"/>
  <c r="BQ52" i="1"/>
  <c r="BP52" i="1"/>
  <c r="BL52" i="1"/>
  <c r="BK52" i="1"/>
  <c r="BJ52" i="1"/>
  <c r="BI52" i="1"/>
  <c r="BH52" i="1"/>
  <c r="BG52" i="1"/>
  <c r="BF52" i="1"/>
  <c r="BE52" i="1"/>
  <c r="AL52" i="1"/>
  <c r="AJ52" i="1" s="1"/>
  <c r="AF52" i="1"/>
  <c r="AE52" i="1"/>
  <c r="AC52" i="1"/>
  <c r="W52" i="1"/>
  <c r="X52" i="1" s="1"/>
  <c r="U52" i="1"/>
  <c r="BT52" i="1" s="1"/>
  <c r="R52" i="1"/>
  <c r="Q52" i="1"/>
  <c r="V52" i="1" s="1"/>
  <c r="P52" i="1"/>
  <c r="L52" i="1"/>
  <c r="C45" i="5" s="1"/>
  <c r="D52" i="1"/>
  <c r="C52" i="1"/>
  <c r="B52" i="1" s="1"/>
  <c r="A52" i="1"/>
  <c r="DD51" i="1"/>
  <c r="DC51" i="1"/>
  <c r="DB51" i="1"/>
  <c r="DA51" i="1"/>
  <c r="CZ51" i="1"/>
  <c r="CY51" i="1"/>
  <c r="CV51" i="1"/>
  <c r="H44" i="5" s="1"/>
  <c r="CD51" i="1"/>
  <c r="CB51" i="1"/>
  <c r="CA51" i="1"/>
  <c r="BY51" i="1"/>
  <c r="BV51" i="1"/>
  <c r="BS51" i="1"/>
  <c r="BQ51" i="1"/>
  <c r="BP51" i="1"/>
  <c r="BL51" i="1"/>
  <c r="BK51" i="1"/>
  <c r="BJ51" i="1"/>
  <c r="BI51" i="1"/>
  <c r="BH51" i="1"/>
  <c r="BG51" i="1"/>
  <c r="BF51" i="1"/>
  <c r="BE51" i="1"/>
  <c r="AL51" i="1"/>
  <c r="AJ51" i="1" s="1"/>
  <c r="AE51" i="1"/>
  <c r="AF51" i="1" s="1"/>
  <c r="AC51" i="1"/>
  <c r="W51" i="1"/>
  <c r="X51" i="1" s="1"/>
  <c r="U51" i="1"/>
  <c r="R51" i="1"/>
  <c r="Q51" i="1"/>
  <c r="P51" i="1"/>
  <c r="L51" i="1"/>
  <c r="C44" i="5" s="1"/>
  <c r="D51" i="1"/>
  <c r="C51" i="1"/>
  <c r="B51" i="1" s="1"/>
  <c r="A51" i="1"/>
  <c r="DD50" i="1"/>
  <c r="DC50" i="1" s="1"/>
  <c r="DB50" i="1"/>
  <c r="DA50" i="1"/>
  <c r="CZ50" i="1"/>
  <c r="CY50" i="1"/>
  <c r="CV50" i="1"/>
  <c r="H43" i="5" s="1"/>
  <c r="CD50" i="1"/>
  <c r="CA50" i="1"/>
  <c r="CB50" i="1" s="1"/>
  <c r="BY50" i="1"/>
  <c r="BT50" i="1"/>
  <c r="BW50" i="1" s="1"/>
  <c r="BS50" i="1"/>
  <c r="BV50" i="1" s="1"/>
  <c r="BQ50" i="1"/>
  <c r="BP50" i="1"/>
  <c r="BL50" i="1"/>
  <c r="BK50" i="1"/>
  <c r="BJ50" i="1"/>
  <c r="BI50" i="1"/>
  <c r="BH50" i="1"/>
  <c r="BG50" i="1"/>
  <c r="BF50" i="1"/>
  <c r="BE50" i="1"/>
  <c r="AL50" i="1"/>
  <c r="AJ50" i="1" s="1"/>
  <c r="AE50" i="1"/>
  <c r="AF50" i="1" s="1"/>
  <c r="AC50" i="1"/>
  <c r="W50" i="1"/>
  <c r="X50" i="1" s="1"/>
  <c r="V50" i="1"/>
  <c r="U50" i="1"/>
  <c r="R50" i="1"/>
  <c r="Q50" i="1"/>
  <c r="P50" i="1"/>
  <c r="L50" i="1"/>
  <c r="C43" i="5" s="1"/>
  <c r="D50" i="1"/>
  <c r="C50" i="1"/>
  <c r="B50" i="1"/>
  <c r="A50" i="1"/>
  <c r="DD49" i="1"/>
  <c r="DA49" i="1"/>
  <c r="CZ49" i="1"/>
  <c r="CY49" i="1"/>
  <c r="CV49" i="1"/>
  <c r="H42" i="5" s="1"/>
  <c r="CD49" i="1"/>
  <c r="CA49" i="1"/>
  <c r="BY49" i="1"/>
  <c r="BS49" i="1"/>
  <c r="BV49" i="1" s="1"/>
  <c r="BQ49" i="1"/>
  <c r="BP49" i="1"/>
  <c r="BL49" i="1"/>
  <c r="BK49" i="1"/>
  <c r="BJ49" i="1"/>
  <c r="BI49" i="1"/>
  <c r="BH49" i="1"/>
  <c r="BG49" i="1"/>
  <c r="BF49" i="1"/>
  <c r="BE49" i="1"/>
  <c r="AE49" i="1"/>
  <c r="AF49" i="1" s="1"/>
  <c r="AC49" i="1"/>
  <c r="U49" i="1"/>
  <c r="R49" i="1"/>
  <c r="Q49" i="1"/>
  <c r="W49" i="1" s="1"/>
  <c r="X49" i="1" s="1"/>
  <c r="P49" i="1"/>
  <c r="L49" i="1"/>
  <c r="C42" i="5" s="1"/>
  <c r="D49" i="1"/>
  <c r="C49" i="1"/>
  <c r="B49" i="1"/>
  <c r="A49" i="1"/>
  <c r="DD48" i="1"/>
  <c r="DC48" i="1"/>
  <c r="CY48" i="1"/>
  <c r="CV48" i="1"/>
  <c r="H41" i="5" s="1"/>
  <c r="CD48" i="1"/>
  <c r="CB48" i="1"/>
  <c r="CA48" i="1"/>
  <c r="BY48" i="1"/>
  <c r="BS48" i="1"/>
  <c r="BV48" i="1" s="1"/>
  <c r="BQ48" i="1"/>
  <c r="BP48" i="1"/>
  <c r="BL48" i="1"/>
  <c r="BK48" i="1"/>
  <c r="BJ48" i="1"/>
  <c r="BI48" i="1"/>
  <c r="BH48" i="1"/>
  <c r="BG48" i="1"/>
  <c r="BF48" i="1"/>
  <c r="BE48" i="1"/>
  <c r="AE48" i="1"/>
  <c r="AF48" i="1" s="1"/>
  <c r="AC48" i="1"/>
  <c r="U48" i="1"/>
  <c r="R48" i="1"/>
  <c r="Q48" i="1"/>
  <c r="W48" i="1" s="1"/>
  <c r="X48" i="1" s="1"/>
  <c r="P48" i="1"/>
  <c r="L48" i="1"/>
  <c r="C41" i="5" s="1"/>
  <c r="D48" i="1"/>
  <c r="C48" i="1"/>
  <c r="B48" i="1"/>
  <c r="A48" i="1"/>
  <c r="DD47" i="1"/>
  <c r="DC47" i="1"/>
  <c r="DB47" i="1"/>
  <c r="CY47" i="1"/>
  <c r="CV47" i="1"/>
  <c r="H40" i="5" s="1"/>
  <c r="CD47" i="1"/>
  <c r="CA47" i="1"/>
  <c r="CB47" i="1" s="1"/>
  <c r="BY47" i="1"/>
  <c r="BS47" i="1"/>
  <c r="BV47" i="1" s="1"/>
  <c r="BQ47" i="1"/>
  <c r="BP47" i="1"/>
  <c r="BL47" i="1"/>
  <c r="BK47" i="1"/>
  <c r="BJ47" i="1"/>
  <c r="BI47" i="1"/>
  <c r="BH47" i="1"/>
  <c r="BG47" i="1"/>
  <c r="BF47" i="1"/>
  <c r="BE47" i="1"/>
  <c r="AF47" i="1"/>
  <c r="AE47" i="1"/>
  <c r="AC47" i="1"/>
  <c r="U47" i="1"/>
  <c r="R47" i="1"/>
  <c r="Q47" i="1"/>
  <c r="P47" i="1"/>
  <c r="L47" i="1"/>
  <c r="C40" i="5" s="1"/>
  <c r="D47" i="1"/>
  <c r="C47" i="1"/>
  <c r="B47" i="1"/>
  <c r="A47" i="1"/>
  <c r="DD46" i="1"/>
  <c r="CY46" i="1"/>
  <c r="CV46" i="1"/>
  <c r="H39" i="5" s="1"/>
  <c r="CD46" i="1"/>
  <c r="CB46" i="1"/>
  <c r="CA46" i="1"/>
  <c r="BY46" i="1"/>
  <c r="BS46" i="1"/>
  <c r="BV46" i="1" s="1"/>
  <c r="BQ46" i="1"/>
  <c r="BP46" i="1"/>
  <c r="BL46" i="1"/>
  <c r="BK46" i="1"/>
  <c r="BJ46" i="1"/>
  <c r="BI46" i="1"/>
  <c r="BH46" i="1"/>
  <c r="BG46" i="1"/>
  <c r="BF46" i="1"/>
  <c r="BE46" i="1"/>
  <c r="AE46" i="1"/>
  <c r="AF46" i="1" s="1"/>
  <c r="AC46" i="1"/>
  <c r="U46" i="1"/>
  <c r="R46" i="1"/>
  <c r="Q46" i="1"/>
  <c r="W46" i="1" s="1"/>
  <c r="X46" i="1" s="1"/>
  <c r="P46" i="1"/>
  <c r="L46" i="1"/>
  <c r="C39" i="5" s="1"/>
  <c r="D46" i="1"/>
  <c r="C46" i="1"/>
  <c r="A46" i="1"/>
  <c r="DD45" i="1"/>
  <c r="DC45" i="1"/>
  <c r="DB45" i="1"/>
  <c r="DA45" i="1"/>
  <c r="CZ45" i="1"/>
  <c r="CY45" i="1"/>
  <c r="CV45" i="1"/>
  <c r="H38" i="5" s="1"/>
  <c r="CD45" i="1"/>
  <c r="CA45" i="1"/>
  <c r="CB45" i="1" s="1"/>
  <c r="BY45" i="1"/>
  <c r="BW45" i="1"/>
  <c r="BV45" i="1"/>
  <c r="BS45" i="1"/>
  <c r="BQ45" i="1"/>
  <c r="BP45" i="1"/>
  <c r="BL45" i="1"/>
  <c r="BK45" i="1"/>
  <c r="BJ45" i="1"/>
  <c r="BI45" i="1"/>
  <c r="BH45" i="1"/>
  <c r="BG45" i="1"/>
  <c r="BF45" i="1"/>
  <c r="BE45" i="1"/>
  <c r="AL45" i="1"/>
  <c r="AJ45" i="1" s="1"/>
  <c r="AK45" i="1"/>
  <c r="AF45" i="1"/>
  <c r="AE45" i="1"/>
  <c r="AC45" i="1"/>
  <c r="U45" i="1"/>
  <c r="BT45" i="1" s="1"/>
  <c r="R45" i="1"/>
  <c r="Q45" i="1"/>
  <c r="V45" i="1" s="1"/>
  <c r="P45" i="1"/>
  <c r="L45" i="1"/>
  <c r="C38" i="5" s="1"/>
  <c r="D45" i="1"/>
  <c r="C45" i="1"/>
  <c r="B45" i="1" s="1"/>
  <c r="A45" i="1"/>
  <c r="DD44" i="1"/>
  <c r="DC44" i="1"/>
  <c r="DB44" i="1"/>
  <c r="DA44" i="1"/>
  <c r="CZ44" i="1"/>
  <c r="CY44" i="1"/>
  <c r="CV44" i="1"/>
  <c r="H37" i="5" s="1"/>
  <c r="CD44" i="1"/>
  <c r="CA44" i="1"/>
  <c r="CB44" i="1" s="1"/>
  <c r="BY44" i="1"/>
  <c r="BW44" i="1"/>
  <c r="BV44" i="1"/>
  <c r="BS44" i="1"/>
  <c r="BQ44" i="1"/>
  <c r="BP44" i="1"/>
  <c r="BL44" i="1"/>
  <c r="BK44" i="1"/>
  <c r="BJ44" i="1"/>
  <c r="BI44" i="1"/>
  <c r="BH44" i="1"/>
  <c r="BG44" i="1"/>
  <c r="BF44" i="1"/>
  <c r="BE44" i="1"/>
  <c r="AL44" i="1"/>
  <c r="AJ44" i="1"/>
  <c r="AF44" i="1"/>
  <c r="AE44" i="1"/>
  <c r="AC44" i="1"/>
  <c r="W44" i="1"/>
  <c r="X44" i="1" s="1"/>
  <c r="U44" i="1"/>
  <c r="BT44" i="1" s="1"/>
  <c r="R44" i="1"/>
  <c r="Q44" i="1"/>
  <c r="V44" i="1" s="1"/>
  <c r="P44" i="1"/>
  <c r="L44" i="1"/>
  <c r="C37" i="5" s="1"/>
  <c r="D44" i="1"/>
  <c r="C44" i="1"/>
  <c r="B44" i="1" s="1"/>
  <c r="A44" i="1"/>
  <c r="DD43" i="1"/>
  <c r="DC43" i="1"/>
  <c r="DB43" i="1"/>
  <c r="DA43" i="1"/>
  <c r="CZ43" i="1"/>
  <c r="CY43" i="1"/>
  <c r="CV43" i="1"/>
  <c r="H36" i="5" s="1"/>
  <c r="CD43" i="1"/>
  <c r="CA43" i="1"/>
  <c r="CB43" i="1" s="1"/>
  <c r="BY43" i="1"/>
  <c r="BV43" i="1"/>
  <c r="BS43" i="1"/>
  <c r="BQ43" i="1"/>
  <c r="BP43" i="1"/>
  <c r="BL43" i="1"/>
  <c r="BK43" i="1"/>
  <c r="BJ43" i="1"/>
  <c r="BI43" i="1"/>
  <c r="BH43" i="1"/>
  <c r="BG43" i="1"/>
  <c r="BF43" i="1"/>
  <c r="BE43" i="1"/>
  <c r="AE43" i="1"/>
  <c r="AF43" i="1" s="1"/>
  <c r="AC43" i="1"/>
  <c r="U43" i="1"/>
  <c r="R43" i="1"/>
  <c r="Q43" i="1"/>
  <c r="P43" i="1"/>
  <c r="L43" i="1"/>
  <c r="C36" i="5" s="1"/>
  <c r="D43" i="1"/>
  <c r="C43" i="1"/>
  <c r="B43" i="1"/>
  <c r="A43" i="1"/>
  <c r="DD42" i="1"/>
  <c r="DC42" i="1" s="1"/>
  <c r="DB42" i="1"/>
  <c r="DA42" i="1"/>
  <c r="CZ42" i="1"/>
  <c r="CY42" i="1"/>
  <c r="CV42" i="1"/>
  <c r="H35" i="5" s="1"/>
  <c r="CD42" i="1"/>
  <c r="CA42" i="1"/>
  <c r="CB42" i="1" s="1"/>
  <c r="BY42" i="1"/>
  <c r="BW42" i="1"/>
  <c r="BV42" i="1"/>
  <c r="BS42" i="1"/>
  <c r="BQ42" i="1"/>
  <c r="BP42" i="1"/>
  <c r="BL42" i="1"/>
  <c r="BK42" i="1"/>
  <c r="BJ42" i="1"/>
  <c r="BI42" i="1"/>
  <c r="BH42" i="1"/>
  <c r="BG42" i="1"/>
  <c r="BF42" i="1"/>
  <c r="BE42" i="1"/>
  <c r="AE42" i="1"/>
  <c r="AF42" i="1" s="1"/>
  <c r="AC42" i="1"/>
  <c r="U42" i="1"/>
  <c r="R42" i="1"/>
  <c r="Q42" i="1"/>
  <c r="P42" i="1"/>
  <c r="L42" i="1"/>
  <c r="C35" i="5" s="1"/>
  <c r="D42" i="1"/>
  <c r="B42" i="1" s="1"/>
  <c r="C42" i="1"/>
  <c r="A42" i="1"/>
  <c r="DD41" i="1"/>
  <c r="DA41" i="1"/>
  <c r="CZ41" i="1"/>
  <c r="CY41" i="1"/>
  <c r="CV41" i="1"/>
  <c r="H34" i="5" s="1"/>
  <c r="CD41" i="1"/>
  <c r="CB41" i="1"/>
  <c r="CA41" i="1"/>
  <c r="BY41" i="1"/>
  <c r="BV41" i="1"/>
  <c r="BT41" i="1"/>
  <c r="BW41" i="1" s="1"/>
  <c r="BS41" i="1"/>
  <c r="BQ41" i="1"/>
  <c r="BP41" i="1"/>
  <c r="BL41" i="1"/>
  <c r="BK41" i="1"/>
  <c r="BJ41" i="1"/>
  <c r="BI41" i="1"/>
  <c r="BH41" i="1"/>
  <c r="BG41" i="1"/>
  <c r="BF41" i="1"/>
  <c r="BE41" i="1"/>
  <c r="AE41" i="1"/>
  <c r="AF41" i="1" s="1"/>
  <c r="AC41" i="1"/>
  <c r="W41" i="1"/>
  <c r="X41" i="1" s="1"/>
  <c r="Y41" i="1" s="1"/>
  <c r="V41" i="1"/>
  <c r="U41" i="1"/>
  <c r="R41" i="1"/>
  <c r="Q41" i="1"/>
  <c r="P41" i="1"/>
  <c r="L41" i="1"/>
  <c r="C34" i="5" s="1"/>
  <c r="D41" i="1"/>
  <c r="C41" i="1"/>
  <c r="B41" i="1"/>
  <c r="A41" i="1"/>
  <c r="DD40" i="1"/>
  <c r="DC40" i="1"/>
  <c r="CZ40" i="1"/>
  <c r="CY40" i="1"/>
  <c r="CV40" i="1"/>
  <c r="H33" i="5" s="1"/>
  <c r="CD40" i="1"/>
  <c r="CA40" i="1"/>
  <c r="BY40" i="1"/>
  <c r="BT40" i="1"/>
  <c r="BW40" i="1" s="1"/>
  <c r="BS40" i="1"/>
  <c r="BV40" i="1" s="1"/>
  <c r="BQ40" i="1"/>
  <c r="BP40" i="1"/>
  <c r="BL40" i="1"/>
  <c r="BK40" i="1"/>
  <c r="BJ40" i="1"/>
  <c r="BI40" i="1"/>
  <c r="BH40" i="1"/>
  <c r="BG40" i="1"/>
  <c r="BF40" i="1"/>
  <c r="BE40" i="1"/>
  <c r="AL40" i="1"/>
  <c r="AE40" i="1"/>
  <c r="AF40" i="1" s="1"/>
  <c r="AC40" i="1"/>
  <c r="Y40" i="1"/>
  <c r="W40" i="1"/>
  <c r="X40" i="1" s="1"/>
  <c r="CX40" i="1" s="1"/>
  <c r="U40" i="1"/>
  <c r="CB40" i="1" s="1"/>
  <c r="R40" i="1"/>
  <c r="Q40" i="1"/>
  <c r="P40" i="1"/>
  <c r="L40" i="1"/>
  <c r="C33" i="5" s="1"/>
  <c r="D40" i="1"/>
  <c r="C40" i="1"/>
  <c r="B40" i="1" s="1"/>
  <c r="A40" i="1"/>
  <c r="DD39" i="1"/>
  <c r="CZ39" i="1" s="1"/>
  <c r="DC39" i="1"/>
  <c r="DB39" i="1"/>
  <c r="DA39" i="1"/>
  <c r="CY39" i="1"/>
  <c r="CX39" i="1"/>
  <c r="CV39" i="1"/>
  <c r="H32" i="5" s="1"/>
  <c r="CD39" i="1"/>
  <c r="CA39" i="1"/>
  <c r="CB39" i="1" s="1"/>
  <c r="BY39" i="1"/>
  <c r="BT39" i="1"/>
  <c r="BW39" i="1" s="1"/>
  <c r="BS39" i="1"/>
  <c r="BV39" i="1" s="1"/>
  <c r="BQ39" i="1"/>
  <c r="BP39" i="1"/>
  <c r="BL39" i="1"/>
  <c r="BK39" i="1"/>
  <c r="BJ39" i="1"/>
  <c r="BI39" i="1"/>
  <c r="BH39" i="1"/>
  <c r="BG39" i="1"/>
  <c r="BF39" i="1"/>
  <c r="BE39" i="1"/>
  <c r="AE39" i="1"/>
  <c r="AF39" i="1" s="1"/>
  <c r="AC39" i="1"/>
  <c r="AA39" i="1"/>
  <c r="Z39" i="1"/>
  <c r="U39" i="1"/>
  <c r="AL39" i="1" s="1"/>
  <c r="R39" i="1"/>
  <c r="Q39" i="1"/>
  <c r="W39" i="1" s="1"/>
  <c r="X39" i="1" s="1"/>
  <c r="Y39" i="1" s="1"/>
  <c r="P39" i="1"/>
  <c r="L39" i="1"/>
  <c r="C32" i="5" s="1"/>
  <c r="D39" i="1"/>
  <c r="C39" i="1"/>
  <c r="B39" i="1"/>
  <c r="A39" i="1"/>
  <c r="DD38" i="1"/>
  <c r="DA38" i="1" s="1"/>
  <c r="DC38" i="1"/>
  <c r="DB38" i="1"/>
  <c r="CY38" i="1"/>
  <c r="CV38" i="1"/>
  <c r="H31" i="5" s="1"/>
  <c r="CD38" i="1"/>
  <c r="CA38" i="1"/>
  <c r="CB38" i="1" s="1"/>
  <c r="BY38" i="1"/>
  <c r="BS38" i="1"/>
  <c r="BV38" i="1" s="1"/>
  <c r="BQ38" i="1"/>
  <c r="BP38" i="1"/>
  <c r="BL38" i="1"/>
  <c r="BK38" i="1"/>
  <c r="BJ38" i="1"/>
  <c r="BI38" i="1"/>
  <c r="BH38" i="1"/>
  <c r="BG38" i="1"/>
  <c r="BF38" i="1"/>
  <c r="BE38" i="1"/>
  <c r="AL38" i="1"/>
  <c r="AE38" i="1"/>
  <c r="AF38" i="1" s="1"/>
  <c r="AC38" i="1"/>
  <c r="U38" i="1"/>
  <c r="V38" i="1" s="1"/>
  <c r="R38" i="1"/>
  <c r="Q38" i="1"/>
  <c r="W38" i="1" s="1"/>
  <c r="X38" i="1" s="1"/>
  <c r="CX38" i="1" s="1"/>
  <c r="P38" i="1"/>
  <c r="L38" i="1"/>
  <c r="C31" i="5" s="1"/>
  <c r="D38" i="1"/>
  <c r="C38" i="1"/>
  <c r="B38" i="1"/>
  <c r="A38" i="1"/>
  <c r="DD37" i="1"/>
  <c r="CZ37" i="1" s="1"/>
  <c r="DC37" i="1"/>
  <c r="DB37" i="1"/>
  <c r="DA37" i="1"/>
  <c r="CY37" i="1"/>
  <c r="CV37" i="1"/>
  <c r="H30" i="5" s="1"/>
  <c r="CD37" i="1"/>
  <c r="CA37" i="1"/>
  <c r="CB37" i="1" s="1"/>
  <c r="BY37" i="1"/>
  <c r="BS37" i="1"/>
  <c r="BV37" i="1" s="1"/>
  <c r="BQ37" i="1"/>
  <c r="BP37" i="1"/>
  <c r="BL37" i="1"/>
  <c r="BK37" i="1"/>
  <c r="BJ37" i="1"/>
  <c r="BI37" i="1"/>
  <c r="BH37" i="1"/>
  <c r="BG37" i="1"/>
  <c r="BF37" i="1"/>
  <c r="BE37" i="1"/>
  <c r="AL37" i="1"/>
  <c r="AE37" i="1"/>
  <c r="AF37" i="1" s="1"/>
  <c r="AC37" i="1"/>
  <c r="X37" i="1"/>
  <c r="CX37" i="1" s="1"/>
  <c r="U37" i="1"/>
  <c r="V37" i="1" s="1"/>
  <c r="R37" i="1"/>
  <c r="Q37" i="1"/>
  <c r="W37" i="1" s="1"/>
  <c r="P37" i="1"/>
  <c r="L37" i="1"/>
  <c r="C30" i="5" s="1"/>
  <c r="D37" i="1"/>
  <c r="B37" i="1" s="1"/>
  <c r="C37" i="1"/>
  <c r="A37" i="1"/>
  <c r="DD36" i="1"/>
  <c r="DC36" i="1" s="1"/>
  <c r="DB36" i="1"/>
  <c r="DA36" i="1"/>
  <c r="CZ36" i="1"/>
  <c r="CY36" i="1"/>
  <c r="CV36" i="1"/>
  <c r="H29" i="5" s="1"/>
  <c r="CD36" i="1"/>
  <c r="CA36" i="1"/>
  <c r="CB36" i="1" s="1"/>
  <c r="BY36" i="1"/>
  <c r="BS36" i="1"/>
  <c r="BV36" i="1" s="1"/>
  <c r="BQ36" i="1"/>
  <c r="BP36" i="1"/>
  <c r="BL36" i="1"/>
  <c r="BK36" i="1"/>
  <c r="BJ36" i="1"/>
  <c r="BI36" i="1"/>
  <c r="BH36" i="1"/>
  <c r="BG36" i="1"/>
  <c r="BF36" i="1"/>
  <c r="BE36" i="1"/>
  <c r="AL36" i="1"/>
  <c r="AN36" i="1" s="1"/>
  <c r="AJ36" i="1"/>
  <c r="AE36" i="1"/>
  <c r="AF36" i="1" s="1"/>
  <c r="AC36" i="1"/>
  <c r="W36" i="1"/>
  <c r="X36" i="1" s="1"/>
  <c r="U36" i="1"/>
  <c r="V36" i="1" s="1"/>
  <c r="R36" i="1"/>
  <c r="Q36" i="1"/>
  <c r="P36" i="1"/>
  <c r="L36" i="1"/>
  <c r="C29" i="5" s="1"/>
  <c r="D36" i="1"/>
  <c r="C36" i="1"/>
  <c r="A36" i="1"/>
  <c r="DD35" i="1"/>
  <c r="DC35" i="1"/>
  <c r="DB35" i="1"/>
  <c r="DA35" i="1"/>
  <c r="CZ35" i="1"/>
  <c r="CY35" i="1"/>
  <c r="CV35" i="1"/>
  <c r="H28" i="5" s="1"/>
  <c r="CD35" i="1"/>
  <c r="CB35" i="1"/>
  <c r="CA35" i="1"/>
  <c r="BY35" i="1"/>
  <c r="BW35" i="1"/>
  <c r="BV35" i="1"/>
  <c r="BS35" i="1"/>
  <c r="BQ35" i="1"/>
  <c r="BP35" i="1"/>
  <c r="BL35" i="1"/>
  <c r="BK35" i="1"/>
  <c r="BJ35" i="1"/>
  <c r="BI35" i="1"/>
  <c r="BH35" i="1"/>
  <c r="BG35" i="1"/>
  <c r="BF35" i="1"/>
  <c r="BE35" i="1"/>
  <c r="AS35" i="1"/>
  <c r="AR35" i="1"/>
  <c r="AU35" i="1" s="1"/>
  <c r="AQ35" i="1"/>
  <c r="AP35" i="1" s="1"/>
  <c r="AL35" i="1"/>
  <c r="AN35" i="1" s="1"/>
  <c r="AO35" i="1" s="1"/>
  <c r="AK35" i="1"/>
  <c r="AM35" i="1" s="1"/>
  <c r="AJ35" i="1"/>
  <c r="AW35" i="1" s="1"/>
  <c r="AF35" i="1"/>
  <c r="AE35" i="1"/>
  <c r="AC35" i="1"/>
  <c r="X35" i="1"/>
  <c r="W35" i="1"/>
  <c r="V35" i="1"/>
  <c r="U35" i="1"/>
  <c r="BT35" i="1" s="1"/>
  <c r="R35" i="1"/>
  <c r="Q35" i="1"/>
  <c r="P35" i="1"/>
  <c r="L35" i="1"/>
  <c r="C28" i="5" s="1"/>
  <c r="D35" i="1"/>
  <c r="C35" i="1"/>
  <c r="B35" i="1" s="1"/>
  <c r="A35" i="1"/>
  <c r="DD34" i="1"/>
  <c r="DC34" i="1"/>
  <c r="DB34" i="1"/>
  <c r="DA34" i="1"/>
  <c r="CZ34" i="1"/>
  <c r="CY34" i="1"/>
  <c r="CV34" i="1"/>
  <c r="H27" i="5" s="1"/>
  <c r="CD34" i="1"/>
  <c r="CA34" i="1"/>
  <c r="CB34" i="1" s="1"/>
  <c r="BY34" i="1"/>
  <c r="BV34" i="1"/>
  <c r="BS34" i="1"/>
  <c r="BQ34" i="1"/>
  <c r="BP34" i="1"/>
  <c r="BL34" i="1"/>
  <c r="BK34" i="1"/>
  <c r="BJ34" i="1"/>
  <c r="BI34" i="1"/>
  <c r="BH34" i="1"/>
  <c r="BG34" i="1"/>
  <c r="BF34" i="1"/>
  <c r="BE34" i="1"/>
  <c r="AE34" i="1"/>
  <c r="AF34" i="1" s="1"/>
  <c r="AC34" i="1"/>
  <c r="W34" i="1"/>
  <c r="X34" i="1" s="1"/>
  <c r="Y34" i="1" s="1"/>
  <c r="V34" i="1"/>
  <c r="U34" i="1"/>
  <c r="R34" i="1"/>
  <c r="Q34" i="1"/>
  <c r="P34" i="1"/>
  <c r="L34" i="1"/>
  <c r="C27" i="5" s="1"/>
  <c r="D34" i="1"/>
  <c r="C34" i="1"/>
  <c r="B34" i="1" s="1"/>
  <c r="A34" i="1"/>
  <c r="DD33" i="1"/>
  <c r="DC33" i="1"/>
  <c r="DB33" i="1"/>
  <c r="DA33" i="1"/>
  <c r="CZ33" i="1"/>
  <c r="CY33" i="1"/>
  <c r="CV33" i="1"/>
  <c r="H26" i="5" s="1"/>
  <c r="CD33" i="1"/>
  <c r="CA33" i="1"/>
  <c r="BY33" i="1"/>
  <c r="BV33" i="1"/>
  <c r="BS33" i="1"/>
  <c r="BQ33" i="1"/>
  <c r="BP33" i="1"/>
  <c r="BL33" i="1"/>
  <c r="BK33" i="1"/>
  <c r="BJ33" i="1"/>
  <c r="BI33" i="1"/>
  <c r="BH33" i="1"/>
  <c r="BG33" i="1"/>
  <c r="BF33" i="1"/>
  <c r="BE33" i="1"/>
  <c r="AL33" i="1"/>
  <c r="AF33" i="1"/>
  <c r="AE33" i="1"/>
  <c r="AC33" i="1"/>
  <c r="U33" i="1"/>
  <c r="BT33" i="1" s="1"/>
  <c r="BW33" i="1" s="1"/>
  <c r="R33" i="1"/>
  <c r="Q33" i="1"/>
  <c r="P33" i="1"/>
  <c r="L33" i="1"/>
  <c r="C26" i="5" s="1"/>
  <c r="D33" i="1"/>
  <c r="C33" i="1"/>
  <c r="B33" i="1"/>
  <c r="A33" i="1"/>
  <c r="DD32" i="1"/>
  <c r="CY32" i="1"/>
  <c r="CX32" i="1"/>
  <c r="CV32" i="1"/>
  <c r="H25" i="5" s="1"/>
  <c r="CD32" i="1"/>
  <c r="CA32" i="1"/>
  <c r="CB32" i="1" s="1"/>
  <c r="BY32" i="1"/>
  <c r="BT32" i="1"/>
  <c r="BW32" i="1" s="1"/>
  <c r="BS32" i="1"/>
  <c r="BV32" i="1" s="1"/>
  <c r="BQ32" i="1"/>
  <c r="BP32" i="1"/>
  <c r="BL32" i="1"/>
  <c r="BK32" i="1"/>
  <c r="BJ32" i="1"/>
  <c r="BI32" i="1"/>
  <c r="BH32" i="1"/>
  <c r="BG32" i="1"/>
  <c r="BF32" i="1"/>
  <c r="BE32" i="1"/>
  <c r="AE32" i="1"/>
  <c r="AF32" i="1" s="1"/>
  <c r="AC32" i="1"/>
  <c r="U32" i="1"/>
  <c r="R32" i="1"/>
  <c r="Q32" i="1"/>
  <c r="W32" i="1" s="1"/>
  <c r="X32" i="1" s="1"/>
  <c r="Y32" i="1" s="1"/>
  <c r="Z32" i="1" s="1"/>
  <c r="P32" i="1"/>
  <c r="L32" i="1"/>
  <c r="C25" i="5" s="1"/>
  <c r="D32" i="1"/>
  <c r="C32" i="1"/>
  <c r="B32" i="1" s="1"/>
  <c r="A32" i="1"/>
  <c r="DD31" i="1"/>
  <c r="DC31" i="1"/>
  <c r="CY31" i="1"/>
  <c r="CV31" i="1"/>
  <c r="H24" i="5" s="1"/>
  <c r="CD31" i="1"/>
  <c r="CB31" i="1"/>
  <c r="CA31" i="1"/>
  <c r="BY31" i="1"/>
  <c r="BS31" i="1"/>
  <c r="BV31" i="1" s="1"/>
  <c r="BQ31" i="1"/>
  <c r="BP31" i="1"/>
  <c r="BL31" i="1"/>
  <c r="BK31" i="1"/>
  <c r="BJ31" i="1"/>
  <c r="BI31" i="1"/>
  <c r="BH31" i="1"/>
  <c r="BG31" i="1"/>
  <c r="BF31" i="1"/>
  <c r="BE31" i="1"/>
  <c r="AF31" i="1"/>
  <c r="AE31" i="1"/>
  <c r="AC31" i="1"/>
  <c r="U31" i="1"/>
  <c r="R31" i="1"/>
  <c r="Q31" i="1"/>
  <c r="P31" i="1"/>
  <c r="L31" i="1"/>
  <c r="C24" i="5" s="1"/>
  <c r="D31" i="1"/>
  <c r="C31" i="1"/>
  <c r="B31" i="1"/>
  <c r="A31" i="1"/>
  <c r="DD30" i="1"/>
  <c r="DC30" i="1" s="1"/>
  <c r="DB30" i="1"/>
  <c r="CY30" i="1"/>
  <c r="CV30" i="1"/>
  <c r="H23" i="5" s="1"/>
  <c r="CD30" i="1"/>
  <c r="CB30" i="1"/>
  <c r="CA30" i="1"/>
  <c r="BY30" i="1"/>
  <c r="BV30" i="1"/>
  <c r="BS30" i="1"/>
  <c r="BQ30" i="1"/>
  <c r="BP30" i="1"/>
  <c r="BL30" i="1"/>
  <c r="BK30" i="1"/>
  <c r="BJ30" i="1"/>
  <c r="BI30" i="1"/>
  <c r="BH30" i="1"/>
  <c r="BG30" i="1"/>
  <c r="BF30" i="1"/>
  <c r="BE30" i="1"/>
  <c r="AL30" i="1"/>
  <c r="AE30" i="1"/>
  <c r="AF30" i="1" s="1"/>
  <c r="AC30" i="1"/>
  <c r="U30" i="1"/>
  <c r="R30" i="1"/>
  <c r="Q30" i="1"/>
  <c r="W30" i="1" s="1"/>
  <c r="X30" i="1" s="1"/>
  <c r="CX30" i="1" s="1"/>
  <c r="P30" i="1"/>
  <c r="L30" i="1"/>
  <c r="C23" i="5" s="1"/>
  <c r="D30" i="1"/>
  <c r="C30" i="1"/>
  <c r="B30" i="1"/>
  <c r="A30" i="1"/>
  <c r="DD29" i="1"/>
  <c r="CZ29" i="1" s="1"/>
  <c r="DC29" i="1"/>
  <c r="DB29" i="1"/>
  <c r="DA29" i="1"/>
  <c r="CY29" i="1"/>
  <c r="CV29" i="1"/>
  <c r="H22" i="5" s="1"/>
  <c r="CD29" i="1"/>
  <c r="CA29" i="1"/>
  <c r="CB29" i="1" s="1"/>
  <c r="BY29" i="1"/>
  <c r="BS29" i="1"/>
  <c r="BV29" i="1" s="1"/>
  <c r="BQ29" i="1"/>
  <c r="BP29" i="1"/>
  <c r="BL29" i="1"/>
  <c r="BK29" i="1"/>
  <c r="BJ29" i="1"/>
  <c r="BI29" i="1"/>
  <c r="BH29" i="1"/>
  <c r="BG29" i="1"/>
  <c r="BF29" i="1"/>
  <c r="BE29" i="1"/>
  <c r="AL29" i="1"/>
  <c r="AJ29" i="1" s="1"/>
  <c r="AY29" i="1" s="1"/>
  <c r="AZ29" i="1" s="1"/>
  <c r="AE29" i="1"/>
  <c r="AF29" i="1" s="1"/>
  <c r="AC29" i="1"/>
  <c r="U29" i="1"/>
  <c r="V29" i="1" s="1"/>
  <c r="R29" i="1"/>
  <c r="Q29" i="1"/>
  <c r="W29" i="1" s="1"/>
  <c r="X29" i="1" s="1"/>
  <c r="P29" i="1"/>
  <c r="L29" i="1"/>
  <c r="C22" i="5" s="1"/>
  <c r="D29" i="1"/>
  <c r="B29" i="1" s="1"/>
  <c r="C29" i="1"/>
  <c r="A29" i="1"/>
  <c r="DD28" i="1"/>
  <c r="DC28" i="1" s="1"/>
  <c r="CY28" i="1"/>
  <c r="CV28" i="1"/>
  <c r="H21" i="5" s="1"/>
  <c r="CD28" i="1"/>
  <c r="CA28" i="1"/>
  <c r="CB28" i="1" s="1"/>
  <c r="BY28" i="1"/>
  <c r="BS28" i="1"/>
  <c r="BV28" i="1" s="1"/>
  <c r="BQ28" i="1"/>
  <c r="BP28" i="1"/>
  <c r="BL28" i="1"/>
  <c r="BK28" i="1"/>
  <c r="BJ28" i="1"/>
  <c r="BI28" i="1"/>
  <c r="BH28" i="1"/>
  <c r="BG28" i="1"/>
  <c r="BF28" i="1"/>
  <c r="BE28" i="1"/>
  <c r="AL28" i="1"/>
  <c r="AE28" i="1"/>
  <c r="AF28" i="1" s="1"/>
  <c r="AC28" i="1"/>
  <c r="U28" i="1"/>
  <c r="V28" i="1" s="1"/>
  <c r="R28" i="1"/>
  <c r="Q28" i="1"/>
  <c r="W28" i="1" s="1"/>
  <c r="X28" i="1" s="1"/>
  <c r="P28" i="1"/>
  <c r="L28" i="1"/>
  <c r="C21" i="5" s="1"/>
  <c r="D28" i="1"/>
  <c r="C28" i="1"/>
  <c r="B28" i="1" s="1"/>
  <c r="A28" i="1"/>
  <c r="DD27" i="1"/>
  <c r="DB27" i="1" s="1"/>
  <c r="DC27" i="1"/>
  <c r="DA27" i="1"/>
  <c r="CZ27" i="1"/>
  <c r="CY27" i="1"/>
  <c r="CV27" i="1"/>
  <c r="H20" i="5" s="1"/>
  <c r="CD27" i="1"/>
  <c r="CB27" i="1"/>
  <c r="CA27" i="1"/>
  <c r="BY27" i="1"/>
  <c r="BV27" i="1"/>
  <c r="BS27" i="1"/>
  <c r="BQ27" i="1"/>
  <c r="BP27" i="1"/>
  <c r="BL27" i="1"/>
  <c r="BK27" i="1"/>
  <c r="BJ27" i="1"/>
  <c r="BI27" i="1"/>
  <c r="BH27" i="1"/>
  <c r="BG27" i="1"/>
  <c r="BF27" i="1"/>
  <c r="BE27" i="1"/>
  <c r="AS27" i="1"/>
  <c r="AQ27" i="1"/>
  <c r="AP27" i="1" s="1"/>
  <c r="AN27" i="1"/>
  <c r="AO27" i="1" s="1"/>
  <c r="AL27" i="1"/>
  <c r="AJ27" i="1"/>
  <c r="AW27" i="1" s="1"/>
  <c r="AF27" i="1"/>
  <c r="C12" i="3" s="1"/>
  <c r="AE27" i="1"/>
  <c r="AC27" i="1"/>
  <c r="W27" i="1"/>
  <c r="X27" i="1" s="1"/>
  <c r="V27" i="1"/>
  <c r="U27" i="1"/>
  <c r="BT27" i="1" s="1"/>
  <c r="BW27" i="1" s="1"/>
  <c r="R27" i="1"/>
  <c r="Q27" i="1"/>
  <c r="P27" i="1"/>
  <c r="L27" i="1"/>
  <c r="C20" i="5" s="1"/>
  <c r="D27" i="1"/>
  <c r="C27" i="1"/>
  <c r="B27" i="1" s="1"/>
  <c r="A27" i="1"/>
  <c r="DD26" i="1"/>
  <c r="DC26" i="1"/>
  <c r="DB26" i="1"/>
  <c r="DA26" i="1"/>
  <c r="CZ26" i="1"/>
  <c r="CY26" i="1"/>
  <c r="CV26" i="1"/>
  <c r="H19" i="5" s="1"/>
  <c r="CD26" i="1"/>
  <c r="CA26" i="1"/>
  <c r="BY26" i="1"/>
  <c r="BV26" i="1"/>
  <c r="BS26" i="1"/>
  <c r="BQ26" i="1"/>
  <c r="BP26" i="1"/>
  <c r="BL26" i="1"/>
  <c r="BK26" i="1"/>
  <c r="BJ26" i="1"/>
  <c r="BI26" i="1"/>
  <c r="BH26" i="1"/>
  <c r="BG26" i="1"/>
  <c r="BF26" i="1"/>
  <c r="BE26" i="1"/>
  <c r="AE26" i="1"/>
  <c r="AF26" i="1" s="1"/>
  <c r="AC26" i="1"/>
  <c r="U26" i="1"/>
  <c r="V26" i="1" s="1"/>
  <c r="R26" i="1"/>
  <c r="Q26" i="1"/>
  <c r="P26" i="1"/>
  <c r="L26" i="1"/>
  <c r="C19" i="5" s="1"/>
  <c r="D26" i="1"/>
  <c r="C26" i="1"/>
  <c r="B26" i="1" s="1"/>
  <c r="A26" i="1"/>
  <c r="DD25" i="1"/>
  <c r="DC25" i="1" s="1"/>
  <c r="DB25" i="1"/>
  <c r="DA25" i="1"/>
  <c r="CZ25" i="1"/>
  <c r="CY25" i="1"/>
  <c r="CV25" i="1"/>
  <c r="H18" i="5" s="1"/>
  <c r="CD25" i="1"/>
  <c r="CA25" i="1"/>
  <c r="CB25" i="1" s="1"/>
  <c r="BY25" i="1"/>
  <c r="BS25" i="1"/>
  <c r="BV25" i="1" s="1"/>
  <c r="BQ25" i="1"/>
  <c r="BP25" i="1"/>
  <c r="BL25" i="1"/>
  <c r="BK25" i="1"/>
  <c r="BJ25" i="1"/>
  <c r="BI25" i="1"/>
  <c r="BH25" i="1"/>
  <c r="BG25" i="1"/>
  <c r="BF25" i="1"/>
  <c r="BE25" i="1"/>
  <c r="AE25" i="1"/>
  <c r="AF25" i="1" s="1"/>
  <c r="AC25" i="1"/>
  <c r="V25" i="1"/>
  <c r="U25" i="1"/>
  <c r="R25" i="1"/>
  <c r="Q25" i="1"/>
  <c r="P25" i="1"/>
  <c r="L25" i="1"/>
  <c r="C18" i="5" s="1"/>
  <c r="D25" i="1"/>
  <c r="B25" i="1" s="1"/>
  <c r="C25" i="1"/>
  <c r="A25" i="1"/>
  <c r="DD24" i="1"/>
  <c r="CZ24" i="1" s="1"/>
  <c r="CY24" i="1"/>
  <c r="CV24" i="1"/>
  <c r="H17" i="5" s="1"/>
  <c r="CD24" i="1"/>
  <c r="CB24" i="1"/>
  <c r="CA24" i="1"/>
  <c r="BY24" i="1"/>
  <c r="BT24" i="1"/>
  <c r="BW24" i="1" s="1"/>
  <c r="BS24" i="1"/>
  <c r="BV24" i="1" s="1"/>
  <c r="BQ24" i="1"/>
  <c r="BP24" i="1"/>
  <c r="BL24" i="1"/>
  <c r="BK24" i="1"/>
  <c r="BJ24" i="1"/>
  <c r="BI24" i="1"/>
  <c r="BH24" i="1"/>
  <c r="BG24" i="1"/>
  <c r="BF24" i="1"/>
  <c r="BE24" i="1"/>
  <c r="AO24" i="1"/>
  <c r="AN24" i="1"/>
  <c r="AQ24" i="1" s="1"/>
  <c r="AL24" i="1"/>
  <c r="AJ24" i="1"/>
  <c r="AK24" i="1" s="1"/>
  <c r="AE24" i="1"/>
  <c r="AF24" i="1" s="1"/>
  <c r="AC24" i="1"/>
  <c r="AA24" i="1"/>
  <c r="W24" i="1"/>
  <c r="X24" i="1" s="1"/>
  <c r="Y24" i="1" s="1"/>
  <c r="Z24" i="1" s="1"/>
  <c r="U24" i="1"/>
  <c r="R24" i="1"/>
  <c r="Q24" i="1"/>
  <c r="V24" i="1" s="1"/>
  <c r="P24" i="1"/>
  <c r="L24" i="1"/>
  <c r="C17" i="5" s="1"/>
  <c r="D24" i="1"/>
  <c r="C24" i="1"/>
  <c r="B24" i="1" s="1"/>
  <c r="A24" i="1"/>
  <c r="DD23" i="1"/>
  <c r="DC23" i="1"/>
  <c r="CY23" i="1"/>
  <c r="CV23" i="1"/>
  <c r="H16" i="5" s="1"/>
  <c r="CD23" i="1"/>
  <c r="CB23" i="1"/>
  <c r="CA23" i="1"/>
  <c r="BY23" i="1"/>
  <c r="BW23" i="1"/>
  <c r="BV23" i="1"/>
  <c r="BS23" i="1"/>
  <c r="BQ23" i="1"/>
  <c r="BP23" i="1"/>
  <c r="BL23" i="1"/>
  <c r="BK23" i="1"/>
  <c r="BJ23" i="1"/>
  <c r="BI23" i="1"/>
  <c r="BH23" i="1"/>
  <c r="BG23" i="1"/>
  <c r="BF23" i="1"/>
  <c r="BE23" i="1"/>
  <c r="AE23" i="1"/>
  <c r="AF23" i="1" s="1"/>
  <c r="C15" i="3" s="1"/>
  <c r="AC23" i="1"/>
  <c r="AA23" i="1"/>
  <c r="Z23" i="1"/>
  <c r="U23" i="1"/>
  <c r="BT23" i="1" s="1"/>
  <c r="R23" i="1"/>
  <c r="Q23" i="1"/>
  <c r="W23" i="1" s="1"/>
  <c r="X23" i="1" s="1"/>
  <c r="Y23" i="1" s="1"/>
  <c r="P23" i="1"/>
  <c r="L23" i="1"/>
  <c r="C16" i="5" s="1"/>
  <c r="D23" i="1"/>
  <c r="C23" i="1"/>
  <c r="B23" i="1"/>
  <c r="A23" i="1"/>
  <c r="DD22" i="1"/>
  <c r="DC22" i="1"/>
  <c r="DB22" i="1"/>
  <c r="CY22" i="1"/>
  <c r="CX22" i="1"/>
  <c r="CV22" i="1"/>
  <c r="H15" i="5" s="1"/>
  <c r="CD22" i="1"/>
  <c r="CA22" i="1"/>
  <c r="CB22" i="1" s="1"/>
  <c r="BY22" i="1"/>
  <c r="BT22" i="1"/>
  <c r="BW22" i="1" s="1"/>
  <c r="BS22" i="1"/>
  <c r="BV22" i="1" s="1"/>
  <c r="BQ22" i="1"/>
  <c r="BP22" i="1"/>
  <c r="BL22" i="1"/>
  <c r="BK22" i="1"/>
  <c r="BJ22" i="1"/>
  <c r="BI22" i="1"/>
  <c r="BH22" i="1"/>
  <c r="BG22" i="1"/>
  <c r="BF22" i="1"/>
  <c r="BE22" i="1"/>
  <c r="AL22" i="1"/>
  <c r="AE22" i="1"/>
  <c r="AF22" i="1" s="1"/>
  <c r="AC22" i="1"/>
  <c r="Z22" i="1"/>
  <c r="Y22" i="1"/>
  <c r="AA22" i="1" s="1"/>
  <c r="U22" i="1"/>
  <c r="R22" i="1"/>
  <c r="Q22" i="1"/>
  <c r="W22" i="1" s="1"/>
  <c r="X22" i="1" s="1"/>
  <c r="P22" i="1"/>
  <c r="L22" i="1"/>
  <c r="C15" i="5" s="1"/>
  <c r="D22" i="1"/>
  <c r="C22" i="1"/>
  <c r="B22" i="1"/>
  <c r="A22" i="1"/>
  <c r="DD21" i="1"/>
  <c r="CZ21" i="1" s="1"/>
  <c r="DC21" i="1"/>
  <c r="DB21" i="1"/>
  <c r="DA21" i="1"/>
  <c r="CY21" i="1"/>
  <c r="CV21" i="1"/>
  <c r="H14" i="5" s="1"/>
  <c r="CD21" i="1"/>
  <c r="CB21" i="1"/>
  <c r="T10" i="4" s="1"/>
  <c r="V10" i="4" s="1"/>
  <c r="W10" i="4" s="1"/>
  <c r="CA21" i="1"/>
  <c r="BY21" i="1"/>
  <c r="BS21" i="1"/>
  <c r="BV21" i="1" s="1"/>
  <c r="BQ21" i="1"/>
  <c r="BP21" i="1"/>
  <c r="BL21" i="1"/>
  <c r="BK21" i="1"/>
  <c r="BJ21" i="1"/>
  <c r="BI21" i="1"/>
  <c r="BH21" i="1"/>
  <c r="BG21" i="1"/>
  <c r="BF21" i="1"/>
  <c r="BE21" i="1"/>
  <c r="AS21" i="1"/>
  <c r="AV21" i="1" s="1"/>
  <c r="AX21" i="1" s="1"/>
  <c r="AN21" i="1"/>
  <c r="AQ21" i="1" s="1"/>
  <c r="AP21" i="1" s="1"/>
  <c r="AL21" i="1"/>
  <c r="AJ21" i="1" s="1"/>
  <c r="AY21" i="1" s="1"/>
  <c r="AZ21" i="1" s="1"/>
  <c r="AE21" i="1"/>
  <c r="AF21" i="1" s="1"/>
  <c r="AC21" i="1"/>
  <c r="AA21" i="1"/>
  <c r="Y21" i="1"/>
  <c r="Z21" i="1" s="1"/>
  <c r="X21" i="1"/>
  <c r="CX21" i="1" s="1"/>
  <c r="U21" i="1"/>
  <c r="R21" i="1"/>
  <c r="Q21" i="1"/>
  <c r="W21" i="1" s="1"/>
  <c r="P21" i="1"/>
  <c r="L21" i="1"/>
  <c r="C14" i="5" s="1"/>
  <c r="D21" i="1"/>
  <c r="C21" i="1"/>
  <c r="B21" i="1" s="1"/>
  <c r="A21" i="1"/>
  <c r="DD20" i="1"/>
  <c r="DC20" i="1" s="1"/>
  <c r="DB20" i="1"/>
  <c r="DA20" i="1"/>
  <c r="CZ20" i="1"/>
  <c r="CY20" i="1"/>
  <c r="CV20" i="1"/>
  <c r="H13" i="5" s="1"/>
  <c r="CD20" i="1"/>
  <c r="CB20" i="1"/>
  <c r="CA20" i="1"/>
  <c r="BY20" i="1"/>
  <c r="BS20" i="1"/>
  <c r="BV20" i="1" s="1"/>
  <c r="BQ20" i="1"/>
  <c r="BP20" i="1"/>
  <c r="BL20" i="1"/>
  <c r="BK20" i="1"/>
  <c r="BJ20" i="1"/>
  <c r="BI20" i="1"/>
  <c r="BH20" i="1"/>
  <c r="BG20" i="1"/>
  <c r="BF20" i="1"/>
  <c r="M10" i="4" s="1"/>
  <c r="BE20" i="1"/>
  <c r="AN20" i="1"/>
  <c r="AL20" i="1"/>
  <c r="AJ20" i="1"/>
  <c r="AF20" i="1"/>
  <c r="AE20" i="1"/>
  <c r="AC20" i="1"/>
  <c r="U20" i="1"/>
  <c r="BT20" i="1" s="1"/>
  <c r="BW20" i="1" s="1"/>
  <c r="R20" i="1"/>
  <c r="Q20" i="1"/>
  <c r="V20" i="1" s="1"/>
  <c r="P20" i="1"/>
  <c r="L20" i="1"/>
  <c r="C13" i="5" s="1"/>
  <c r="D20" i="1"/>
  <c r="C20" i="1"/>
  <c r="B20" i="1" s="1"/>
  <c r="A20" i="1"/>
  <c r="DD19" i="1"/>
  <c r="DC19" i="1"/>
  <c r="DB19" i="1"/>
  <c r="DA19" i="1"/>
  <c r="CZ19" i="1"/>
  <c r="CY19" i="1"/>
  <c r="CV19" i="1"/>
  <c r="H12" i="5" s="1"/>
  <c r="CD19" i="1"/>
  <c r="CB19" i="1"/>
  <c r="CA19" i="1"/>
  <c r="BY19" i="1"/>
  <c r="BW19" i="1"/>
  <c r="BV19" i="1"/>
  <c r="BS19" i="1"/>
  <c r="BQ19" i="1"/>
  <c r="BP19" i="1"/>
  <c r="BL19" i="1"/>
  <c r="BK19" i="1"/>
  <c r="BJ19" i="1"/>
  <c r="BI19" i="1"/>
  <c r="BH19" i="1"/>
  <c r="BG19" i="1"/>
  <c r="BF19" i="1"/>
  <c r="M8" i="4" s="1"/>
  <c r="BE19" i="1"/>
  <c r="AQ19" i="1"/>
  <c r="AP19" i="1" s="1"/>
  <c r="AL19" i="1"/>
  <c r="AN19" i="1" s="1"/>
  <c r="AO19" i="1" s="1"/>
  <c r="AF19" i="1"/>
  <c r="AE19" i="1"/>
  <c r="AC19" i="1"/>
  <c r="X19" i="1"/>
  <c r="CX19" i="1" s="1"/>
  <c r="W19" i="1"/>
  <c r="V19" i="1"/>
  <c r="U19" i="1"/>
  <c r="BT19" i="1" s="1"/>
  <c r="R19" i="1"/>
  <c r="Q19" i="1"/>
  <c r="P19" i="1"/>
  <c r="L19" i="1"/>
  <c r="C12" i="5" s="1"/>
  <c r="D19" i="1"/>
  <c r="C19" i="1"/>
  <c r="B19" i="1" s="1"/>
  <c r="A19" i="1"/>
  <c r="DD18" i="1"/>
  <c r="DC18" i="1"/>
  <c r="DB18" i="1"/>
  <c r="DA18" i="1"/>
  <c r="CZ18" i="1"/>
  <c r="CY18" i="1"/>
  <c r="CV18" i="1"/>
  <c r="H11" i="5" s="1"/>
  <c r="CD18" i="1"/>
  <c r="CA18" i="1"/>
  <c r="CB18" i="1" s="1"/>
  <c r="BY18" i="1"/>
  <c r="BW18" i="1"/>
  <c r="BV18" i="1"/>
  <c r="BT18" i="1"/>
  <c r="BS18" i="1"/>
  <c r="BQ18" i="1"/>
  <c r="BP18" i="1"/>
  <c r="BL18" i="1"/>
  <c r="BK18" i="1"/>
  <c r="BJ18" i="1"/>
  <c r="BI18" i="1"/>
  <c r="BH18" i="1"/>
  <c r="BG18" i="1"/>
  <c r="BF18" i="1"/>
  <c r="BE18" i="1"/>
  <c r="AL18" i="1"/>
  <c r="AE18" i="1"/>
  <c r="AF18" i="1" s="1"/>
  <c r="AC18" i="1"/>
  <c r="X18" i="1"/>
  <c r="W18" i="1"/>
  <c r="V18" i="1"/>
  <c r="U18" i="1"/>
  <c r="R18" i="1"/>
  <c r="Q18" i="1"/>
  <c r="P18" i="1"/>
  <c r="L18" i="1"/>
  <c r="C11" i="5" s="1"/>
  <c r="D18" i="1"/>
  <c r="C18" i="1"/>
  <c r="B18" i="1" s="1"/>
  <c r="A18" i="1"/>
  <c r="DD17" i="1"/>
  <c r="DA17" i="1"/>
  <c r="CZ17" i="1"/>
  <c r="CY17" i="1"/>
  <c r="CV17" i="1"/>
  <c r="H10" i="5" s="1"/>
  <c r="CD17" i="1"/>
  <c r="CA17" i="1"/>
  <c r="BY17" i="1"/>
  <c r="BV17" i="1"/>
  <c r="BS17" i="1"/>
  <c r="BQ17" i="1"/>
  <c r="BP17" i="1"/>
  <c r="BL17" i="1"/>
  <c r="BK17" i="1"/>
  <c r="BJ17" i="1"/>
  <c r="BI17" i="1"/>
  <c r="BH17" i="1"/>
  <c r="BG17" i="1"/>
  <c r="BF17" i="1"/>
  <c r="BE17" i="1"/>
  <c r="AF17" i="1"/>
  <c r="AE17" i="1"/>
  <c r="AC17" i="1"/>
  <c r="W17" i="1"/>
  <c r="X17" i="1" s="1"/>
  <c r="U17" i="1"/>
  <c r="R17" i="1"/>
  <c r="Q17" i="1"/>
  <c r="P17" i="1"/>
  <c r="L17" i="1"/>
  <c r="C10" i="5" s="1"/>
  <c r="D17" i="1"/>
  <c r="C17" i="1"/>
  <c r="B17" i="1" s="1"/>
  <c r="A17" i="1"/>
  <c r="DD16" i="1"/>
  <c r="CY16" i="1"/>
  <c r="CV16" i="1"/>
  <c r="H9" i="5" s="1"/>
  <c r="CD16" i="1"/>
  <c r="CB16" i="1"/>
  <c r="CA16" i="1"/>
  <c r="BY16" i="1"/>
  <c r="BS16" i="1"/>
  <c r="BV16" i="1" s="1"/>
  <c r="BQ16" i="1"/>
  <c r="BP16" i="1"/>
  <c r="BL16" i="1"/>
  <c r="BK16" i="1"/>
  <c r="BJ16" i="1"/>
  <c r="BI16" i="1"/>
  <c r="BH16" i="1"/>
  <c r="BG16" i="1"/>
  <c r="BF16" i="1"/>
  <c r="BE16" i="1"/>
  <c r="AF16" i="1"/>
  <c r="AE16" i="1"/>
  <c r="AC16" i="1"/>
  <c r="U16" i="1"/>
  <c r="R16" i="1"/>
  <c r="Q16" i="1"/>
  <c r="W16" i="1" s="1"/>
  <c r="X16" i="1" s="1"/>
  <c r="P16" i="1"/>
  <c r="L16" i="1"/>
  <c r="C9" i="5" s="1"/>
  <c r="D16" i="1"/>
  <c r="C16" i="1"/>
  <c r="B16" i="1"/>
  <c r="A16" i="1"/>
  <c r="DD15" i="1"/>
  <c r="DC15" i="1" s="1"/>
  <c r="DB15" i="1"/>
  <c r="CY15" i="1"/>
  <c r="CV15" i="1"/>
  <c r="H8" i="5" s="1"/>
  <c r="CD15" i="1"/>
  <c r="CA15" i="1"/>
  <c r="CB15" i="1" s="1"/>
  <c r="BY15" i="1"/>
  <c r="BV15" i="1"/>
  <c r="BS15" i="1"/>
  <c r="BQ15" i="1"/>
  <c r="BP15" i="1"/>
  <c r="BL15" i="1"/>
  <c r="BK15" i="1"/>
  <c r="BJ15" i="1"/>
  <c r="BI15" i="1"/>
  <c r="BH15" i="1"/>
  <c r="BG15" i="1"/>
  <c r="BF15" i="1"/>
  <c r="BE15" i="1"/>
  <c r="AF15" i="1"/>
  <c r="AE15" i="1"/>
  <c r="AC15" i="1"/>
  <c r="V15" i="1"/>
  <c r="U15" i="1"/>
  <c r="R15" i="1"/>
  <c r="Q15" i="1"/>
  <c r="P15" i="1"/>
  <c r="L15" i="1"/>
  <c r="C8" i="5" s="1"/>
  <c r="D15" i="1"/>
  <c r="C15" i="1"/>
  <c r="B15" i="1"/>
  <c r="A15" i="1"/>
  <c r="DD14" i="1"/>
  <c r="CZ14" i="1" s="1"/>
  <c r="DB14" i="1"/>
  <c r="DA14" i="1"/>
  <c r="CY14" i="1"/>
  <c r="CV14" i="1"/>
  <c r="H7" i="5" s="1"/>
  <c r="CD14" i="1"/>
  <c r="CB14" i="1"/>
  <c r="CA14" i="1"/>
  <c r="BY14" i="1"/>
  <c r="BS14" i="1"/>
  <c r="BV14" i="1" s="1"/>
  <c r="BQ14" i="1"/>
  <c r="BP14" i="1"/>
  <c r="BL14" i="1"/>
  <c r="BK14" i="1"/>
  <c r="BJ14" i="1"/>
  <c r="BI14" i="1"/>
  <c r="BH14" i="1"/>
  <c r="BG14" i="1"/>
  <c r="BF14" i="1"/>
  <c r="BE14" i="1"/>
  <c r="AL14" i="1"/>
  <c r="AE14" i="1"/>
  <c r="AF14" i="1" s="1"/>
  <c r="AC14" i="1"/>
  <c r="U14" i="1"/>
  <c r="V14" i="1" s="1"/>
  <c r="R14" i="1"/>
  <c r="Q14" i="1"/>
  <c r="P14" i="1"/>
  <c r="L14" i="1"/>
  <c r="C7" i="5" s="1"/>
  <c r="D14" i="1"/>
  <c r="B14" i="1" s="1"/>
  <c r="C14" i="1"/>
  <c r="A14" i="1"/>
  <c r="DD13" i="1"/>
  <c r="DB13" i="1" s="1"/>
  <c r="DC13" i="1"/>
  <c r="DA13" i="1"/>
  <c r="CZ13" i="1"/>
  <c r="CY13" i="1"/>
  <c r="CV13" i="1"/>
  <c r="H6" i="5" s="1"/>
  <c r="CD13" i="1"/>
  <c r="CA13" i="1"/>
  <c r="CB13" i="1" s="1"/>
  <c r="BY13" i="1"/>
  <c r="BS13" i="1"/>
  <c r="BV13" i="1" s="1"/>
  <c r="BQ13" i="1"/>
  <c r="BP13" i="1"/>
  <c r="BL13" i="1"/>
  <c r="BK13" i="1"/>
  <c r="BJ13" i="1"/>
  <c r="BI13" i="1"/>
  <c r="BH13" i="1"/>
  <c r="BG13" i="1"/>
  <c r="BF13" i="1"/>
  <c r="BE13" i="1"/>
  <c r="AL13" i="1"/>
  <c r="AE13" i="1"/>
  <c r="AF13" i="1" s="1"/>
  <c r="AC13" i="1"/>
  <c r="U13" i="1"/>
  <c r="R13" i="1"/>
  <c r="Q13" i="1"/>
  <c r="W13" i="1" s="1"/>
  <c r="X13" i="1" s="1"/>
  <c r="P13" i="1"/>
  <c r="L13" i="1"/>
  <c r="C6" i="5" s="1"/>
  <c r="D13" i="1"/>
  <c r="C13" i="1"/>
  <c r="A13" i="1"/>
  <c r="DD12" i="1"/>
  <c r="DC12" i="1"/>
  <c r="DB12" i="1"/>
  <c r="DA12" i="1"/>
  <c r="CZ12" i="1"/>
  <c r="CY12" i="1"/>
  <c r="CV12" i="1"/>
  <c r="H5" i="5" s="1"/>
  <c r="CD12" i="1"/>
  <c r="CA12" i="1"/>
  <c r="CB12" i="1" s="1"/>
  <c r="BY12" i="1"/>
  <c r="BW12" i="1"/>
  <c r="BV12" i="1"/>
  <c r="BS12" i="1"/>
  <c r="BQ12" i="1"/>
  <c r="BP12" i="1"/>
  <c r="BL12" i="1"/>
  <c r="BK12" i="1"/>
  <c r="BJ12" i="1"/>
  <c r="BI12" i="1"/>
  <c r="BH12" i="1"/>
  <c r="BG12" i="1"/>
  <c r="BF12" i="1"/>
  <c r="BE12" i="1"/>
  <c r="AL12" i="1"/>
  <c r="AF12" i="1"/>
  <c r="AE12" i="1"/>
  <c r="AC12" i="1"/>
  <c r="V12" i="1"/>
  <c r="U12" i="1"/>
  <c r="BT12" i="1" s="1"/>
  <c r="R12" i="1"/>
  <c r="Q12" i="1"/>
  <c r="W12" i="1" s="1"/>
  <c r="X12" i="1" s="1"/>
  <c r="P12" i="1"/>
  <c r="L12" i="1"/>
  <c r="C5" i="5" s="1"/>
  <c r="D12" i="1"/>
  <c r="C12" i="1"/>
  <c r="B12" i="1"/>
  <c r="A12" i="1"/>
  <c r="DD11" i="1"/>
  <c r="CZ11" i="1" s="1"/>
  <c r="DB11" i="1"/>
  <c r="CY11" i="1"/>
  <c r="CV11" i="1"/>
  <c r="H4" i="5" s="1"/>
  <c r="CD11" i="1"/>
  <c r="CA11" i="1"/>
  <c r="CB11" i="1" s="1"/>
  <c r="BY11" i="1"/>
  <c r="BS11" i="1"/>
  <c r="BV11" i="1" s="1"/>
  <c r="BQ11" i="1"/>
  <c r="BP11" i="1"/>
  <c r="BL11" i="1"/>
  <c r="BK11" i="1"/>
  <c r="BJ11" i="1"/>
  <c r="BI11" i="1"/>
  <c r="BH11" i="1"/>
  <c r="BG11" i="1"/>
  <c r="BF11" i="1"/>
  <c r="BE11" i="1"/>
  <c r="AW11" i="1"/>
  <c r="AL11" i="1"/>
  <c r="AJ11" i="1" s="1"/>
  <c r="AE11" i="1"/>
  <c r="AF11" i="1" s="1"/>
  <c r="AC11" i="1"/>
  <c r="U11" i="1"/>
  <c r="V11" i="1" s="1"/>
  <c r="R11" i="1"/>
  <c r="Q11" i="1"/>
  <c r="W11" i="1" s="1"/>
  <c r="X11" i="1" s="1"/>
  <c r="P11" i="1"/>
  <c r="L11" i="1"/>
  <c r="C4" i="5" s="1"/>
  <c r="D11" i="1"/>
  <c r="C11" i="1"/>
  <c r="B11" i="1" s="1"/>
  <c r="A11" i="1"/>
  <c r="DD10" i="1"/>
  <c r="DB10" i="1" s="1"/>
  <c r="DC10" i="1"/>
  <c r="DA10" i="1"/>
  <c r="CZ10" i="1"/>
  <c r="CY10" i="1"/>
  <c r="CV10" i="1"/>
  <c r="H3" i="5" s="1"/>
  <c r="CD10" i="1"/>
  <c r="CB10" i="1"/>
  <c r="CA10" i="1"/>
  <c r="BY10" i="1"/>
  <c r="BW10" i="1"/>
  <c r="BV10" i="1"/>
  <c r="BS10" i="1"/>
  <c r="BQ10" i="1"/>
  <c r="BP10" i="1"/>
  <c r="BL10" i="1"/>
  <c r="BK10" i="1"/>
  <c r="BJ10" i="1"/>
  <c r="BI10" i="1"/>
  <c r="BH10" i="1"/>
  <c r="BG10" i="1"/>
  <c r="BF10" i="1"/>
  <c r="M5" i="4" s="1"/>
  <c r="BE10" i="1"/>
  <c r="AN10" i="1"/>
  <c r="AQ10" i="1" s="1"/>
  <c r="AL10" i="1"/>
  <c r="AK10" i="1"/>
  <c r="AM10" i="1" s="1"/>
  <c r="AJ10" i="1"/>
  <c r="AY10" i="1" s="1"/>
  <c r="AZ10" i="1" s="1"/>
  <c r="AF10" i="1"/>
  <c r="AE10" i="1"/>
  <c r="AC10" i="1"/>
  <c r="X10" i="1"/>
  <c r="CX10" i="1" s="1"/>
  <c r="W10" i="1"/>
  <c r="U10" i="1"/>
  <c r="BT10" i="1" s="1"/>
  <c r="R10" i="1"/>
  <c r="Q10" i="1"/>
  <c r="V10" i="1" s="1"/>
  <c r="P10" i="1"/>
  <c r="L10" i="1"/>
  <c r="C3" i="5" s="1"/>
  <c r="D10" i="1"/>
  <c r="C10" i="1"/>
  <c r="B10" i="1" s="1"/>
  <c r="A10" i="1"/>
  <c r="DD9" i="1"/>
  <c r="DA9" i="1" s="1"/>
  <c r="DC9" i="1"/>
  <c r="DB9" i="1"/>
  <c r="CZ9" i="1"/>
  <c r="CY9" i="1"/>
  <c r="CV9" i="1"/>
  <c r="H2" i="5" s="1"/>
  <c r="CD9" i="1"/>
  <c r="CA9" i="1"/>
  <c r="CB9" i="1" s="1"/>
  <c r="BY9" i="1"/>
  <c r="BV9" i="1"/>
  <c r="BS9" i="1"/>
  <c r="BQ9" i="1"/>
  <c r="BP9" i="1"/>
  <c r="BL9" i="1"/>
  <c r="BK9" i="1"/>
  <c r="BJ9" i="1"/>
  <c r="BI9" i="1"/>
  <c r="BH9" i="1"/>
  <c r="BG9" i="1"/>
  <c r="BF9" i="1"/>
  <c r="BE9" i="1"/>
  <c r="AL9" i="1"/>
  <c r="AJ9" i="1"/>
  <c r="AF9" i="1"/>
  <c r="AE9" i="1"/>
  <c r="AC9" i="1"/>
  <c r="W9" i="1"/>
  <c r="X9" i="1" s="1"/>
  <c r="V9" i="1"/>
  <c r="U9" i="1"/>
  <c r="BT9" i="1" s="1"/>
  <c r="R9" i="1"/>
  <c r="Q9" i="1"/>
  <c r="P9" i="1"/>
  <c r="L9" i="1"/>
  <c r="C2" i="5" s="1"/>
  <c r="D9" i="1"/>
  <c r="B9" i="1"/>
  <c r="A9" i="1"/>
  <c r="CC3" i="1"/>
  <c r="K3" i="1"/>
  <c r="AP10" i="1" l="1"/>
  <c r="AS10" i="1"/>
  <c r="Y16" i="1"/>
  <c r="CX16" i="1"/>
  <c r="Y17" i="1"/>
  <c r="CX17" i="1"/>
  <c r="G9" i="4"/>
  <c r="L14" i="3"/>
  <c r="AS24" i="1"/>
  <c r="AP24" i="1"/>
  <c r="AR24" i="1" s="1"/>
  <c r="CX28" i="1"/>
  <c r="Y28" i="1"/>
  <c r="AY11" i="1"/>
  <c r="AZ11" i="1" s="1"/>
  <c r="AK11" i="1"/>
  <c r="CX13" i="1"/>
  <c r="Y13" i="1"/>
  <c r="BW9" i="1"/>
  <c r="G6" i="4"/>
  <c r="L10" i="3"/>
  <c r="CX12" i="1"/>
  <c r="Y12" i="1"/>
  <c r="AI2" i="1"/>
  <c r="CX36" i="1"/>
  <c r="Y36" i="1"/>
  <c r="CX9" i="1"/>
  <c r="Y9" i="1"/>
  <c r="CX11" i="1"/>
  <c r="Y11" i="1"/>
  <c r="C7" i="3"/>
  <c r="CX27" i="1"/>
  <c r="Y27" i="1"/>
  <c r="CX29" i="1"/>
  <c r="Y29" i="1"/>
  <c r="N3" i="8"/>
  <c r="N3" i="7"/>
  <c r="N3" i="6"/>
  <c r="L17" i="3"/>
  <c r="C8" i="3"/>
  <c r="G5" i="4"/>
  <c r="AY9" i="1"/>
  <c r="AZ9" i="1" s="1"/>
  <c r="AR10" i="1"/>
  <c r="DA11" i="1"/>
  <c r="B13" i="1"/>
  <c r="AL15" i="1"/>
  <c r="BT15" i="1"/>
  <c r="BW15" i="1" s="1"/>
  <c r="DB16" i="1"/>
  <c r="DA16" i="1"/>
  <c r="C14" i="3"/>
  <c r="AQ20" i="1"/>
  <c r="AO20" i="1"/>
  <c r="AL25" i="1"/>
  <c r="AV27" i="1"/>
  <c r="AX27" i="1" s="1"/>
  <c r="BN27" i="1"/>
  <c r="AT27" i="1"/>
  <c r="DB28" i="1"/>
  <c r="CX35" i="1"/>
  <c r="Y35" i="1"/>
  <c r="AJ38" i="1"/>
  <c r="AN38" i="1"/>
  <c r="Y50" i="1"/>
  <c r="CX50" i="1"/>
  <c r="AY52" i="1"/>
  <c r="AZ52" i="1" s="1"/>
  <c r="AK52" i="1"/>
  <c r="G12" i="4"/>
  <c r="L11" i="3"/>
  <c r="CX61" i="1"/>
  <c r="Y61" i="1"/>
  <c r="BN21" i="1"/>
  <c r="AA34" i="1"/>
  <c r="Z34" i="1"/>
  <c r="AV35" i="1"/>
  <c r="AX35" i="1" s="1"/>
  <c r="BN35" i="1"/>
  <c r="AT35" i="1"/>
  <c r="AY36" i="1"/>
  <c r="AZ36" i="1" s="1"/>
  <c r="AJ39" i="1"/>
  <c r="AA40" i="1"/>
  <c r="Z40" i="1"/>
  <c r="CX51" i="1"/>
  <c r="Y51" i="1"/>
  <c r="AL17" i="1"/>
  <c r="M7" i="3" s="1"/>
  <c r="AK9" i="1"/>
  <c r="Y10" i="1"/>
  <c r="M4" i="4"/>
  <c r="DC11" i="1"/>
  <c r="AN12" i="1"/>
  <c r="AN13" i="1"/>
  <c r="W14" i="1"/>
  <c r="X14" i="1" s="1"/>
  <c r="AN15" i="1"/>
  <c r="V17" i="1"/>
  <c r="BT17" i="1"/>
  <c r="BW17" i="1" s="1"/>
  <c r="Y18" i="1"/>
  <c r="Y19" i="1"/>
  <c r="AO21" i="1"/>
  <c r="CX23" i="1"/>
  <c r="AM24" i="1"/>
  <c r="W25" i="1"/>
  <c r="X25" i="1" s="1"/>
  <c r="AK27" i="1"/>
  <c r="AY27" i="1"/>
  <c r="AZ27" i="1" s="1"/>
  <c r="AJ28" i="1"/>
  <c r="DC32" i="1"/>
  <c r="DB32" i="1"/>
  <c r="DA32" i="1"/>
  <c r="CZ32" i="1"/>
  <c r="AY35" i="1"/>
  <c r="AZ35" i="1" s="1"/>
  <c r="AK36" i="1"/>
  <c r="AJ37" i="1"/>
  <c r="AN37" i="1"/>
  <c r="BT26" i="1"/>
  <c r="BW26" i="1" s="1"/>
  <c r="AN33" i="1"/>
  <c r="AJ33" i="1"/>
  <c r="W33" i="1"/>
  <c r="X33" i="1" s="1"/>
  <c r="AQ36" i="1"/>
  <c r="AO36" i="1"/>
  <c r="CX44" i="1"/>
  <c r="Y44" i="1"/>
  <c r="AY50" i="1"/>
  <c r="AZ50" i="1" s="1"/>
  <c r="AK50" i="1"/>
  <c r="DA15" i="1"/>
  <c r="CZ15" i="1"/>
  <c r="AJ14" i="1"/>
  <c r="BT14" i="1"/>
  <c r="BW14" i="1" s="1"/>
  <c r="AL16" i="1"/>
  <c r="BT16" i="1"/>
  <c r="BW16" i="1" s="1"/>
  <c r="W20" i="1"/>
  <c r="X20" i="1" s="1"/>
  <c r="AY20" i="1"/>
  <c r="AZ20" i="1" s="1"/>
  <c r="AW20" i="1"/>
  <c r="AT21" i="1"/>
  <c r="CX24" i="1"/>
  <c r="AJ30" i="1"/>
  <c r="V33" i="1"/>
  <c r="BM35" i="1"/>
  <c r="Y38" i="1"/>
  <c r="AJ40" i="1"/>
  <c r="AN40" i="1"/>
  <c r="Y46" i="1"/>
  <c r="CX46" i="1"/>
  <c r="AY51" i="1"/>
  <c r="AZ51" i="1" s="1"/>
  <c r="AK51" i="1"/>
  <c r="CX52" i="1"/>
  <c r="Y52" i="1"/>
  <c r="CX60" i="1"/>
  <c r="Y60" i="1"/>
  <c r="AN11" i="1"/>
  <c r="AN26" i="1"/>
  <c r="AN9" i="1"/>
  <c r="AO10" i="1"/>
  <c r="AW10" i="1"/>
  <c r="BT11" i="1"/>
  <c r="G8" i="4"/>
  <c r="L7" i="3"/>
  <c r="V16" i="1"/>
  <c r="DC17" i="1"/>
  <c r="DB17" i="1"/>
  <c r="AS19" i="1"/>
  <c r="AK20" i="1"/>
  <c r="AJ22" i="1"/>
  <c r="DA22" i="1"/>
  <c r="CZ22" i="1"/>
  <c r="DB23" i="1"/>
  <c r="DA23" i="1"/>
  <c r="CZ23" i="1"/>
  <c r="AW24" i="1"/>
  <c r="W26" i="1"/>
  <c r="X26" i="1" s="1"/>
  <c r="AL26" i="1"/>
  <c r="AN28" i="1"/>
  <c r="CB33" i="1"/>
  <c r="T5" i="4" s="1"/>
  <c r="AM45" i="1"/>
  <c r="CZ46" i="1"/>
  <c r="DC46" i="1"/>
  <c r="DB46" i="1"/>
  <c r="DA46" i="1"/>
  <c r="Y48" i="1"/>
  <c r="CX48" i="1"/>
  <c r="CX53" i="1"/>
  <c r="Y53" i="1"/>
  <c r="CX54" i="1"/>
  <c r="Y54" i="1"/>
  <c r="AJ12" i="1"/>
  <c r="V13" i="1"/>
  <c r="BT13" i="1"/>
  <c r="BW13" i="1" s="1"/>
  <c r="AJ13" i="1"/>
  <c r="AN14" i="1"/>
  <c r="DC14" i="1"/>
  <c r="W15" i="1"/>
  <c r="X15" i="1" s="1"/>
  <c r="AN16" i="1"/>
  <c r="CZ16" i="1"/>
  <c r="CB17" i="1"/>
  <c r="AN18" i="1"/>
  <c r="AJ18" i="1"/>
  <c r="M12" i="3"/>
  <c r="AK21" i="1"/>
  <c r="AL23" i="1"/>
  <c r="AN23" i="1"/>
  <c r="BN24" i="1"/>
  <c r="BT25" i="1"/>
  <c r="CZ28" i="1"/>
  <c r="V30" i="1"/>
  <c r="AN30" i="1"/>
  <c r="W31" i="1"/>
  <c r="X31" i="1" s="1"/>
  <c r="C6" i="4" s="1"/>
  <c r="V31" i="1"/>
  <c r="DB31" i="1"/>
  <c r="DA31" i="1"/>
  <c r="CZ31" i="1"/>
  <c r="AL32" i="1"/>
  <c r="V32" i="1"/>
  <c r="CX34" i="1"/>
  <c r="B36" i="1"/>
  <c r="Y37" i="1"/>
  <c r="Z41" i="1"/>
  <c r="AA41" i="1"/>
  <c r="C9" i="3"/>
  <c r="G7" i="4"/>
  <c r="L16" i="3"/>
  <c r="AY45" i="1"/>
  <c r="AZ45" i="1" s="1"/>
  <c r="Y49" i="1"/>
  <c r="CX49" i="1"/>
  <c r="DC16" i="1"/>
  <c r="CX18" i="1"/>
  <c r="AJ19" i="1"/>
  <c r="V21" i="1"/>
  <c r="AW21" i="1"/>
  <c r="V22" i="1"/>
  <c r="AN22" i="1"/>
  <c r="V23" i="1"/>
  <c r="AY24" i="1"/>
  <c r="AZ24" i="1" s="1"/>
  <c r="DC24" i="1"/>
  <c r="DB24" i="1"/>
  <c r="DA24" i="1"/>
  <c r="CB26" i="1"/>
  <c r="DA28" i="1"/>
  <c r="AK29" i="1"/>
  <c r="Y30" i="1"/>
  <c r="DA30" i="1"/>
  <c r="CZ30" i="1"/>
  <c r="AA32" i="1"/>
  <c r="AL34" i="1"/>
  <c r="BT34" i="1"/>
  <c r="BW34" i="1" s="1"/>
  <c r="AN39" i="1"/>
  <c r="CX41" i="1"/>
  <c r="AY44" i="1"/>
  <c r="AZ44" i="1" s="1"/>
  <c r="AK44" i="1"/>
  <c r="W55" i="1"/>
  <c r="X55" i="1" s="1"/>
  <c r="V55" i="1"/>
  <c r="AA58" i="1"/>
  <c r="Z58" i="1"/>
  <c r="AY61" i="1"/>
  <c r="AZ61" i="1" s="1"/>
  <c r="AW61" i="1"/>
  <c r="AJ66" i="1"/>
  <c r="Y72" i="1"/>
  <c r="CX72" i="1"/>
  <c r="AK73" i="1"/>
  <c r="AY73" i="1"/>
  <c r="AZ73" i="1" s="1"/>
  <c r="AL47" i="1"/>
  <c r="BT47" i="1"/>
  <c r="BW47" i="1" s="1"/>
  <c r="DB48" i="1"/>
  <c r="DA48" i="1"/>
  <c r="AJ55" i="1"/>
  <c r="AK60" i="1"/>
  <c r="AK61" i="1"/>
  <c r="CX64" i="1"/>
  <c r="Y64" i="1"/>
  <c r="Z65" i="1"/>
  <c r="AK68" i="1"/>
  <c r="AY68" i="1"/>
  <c r="AZ68" i="1" s="1"/>
  <c r="Y69" i="1"/>
  <c r="CX69" i="1"/>
  <c r="CX81" i="1"/>
  <c r="Y81" i="1"/>
  <c r="V47" i="1"/>
  <c r="AL49" i="1"/>
  <c r="AN52" i="1"/>
  <c r="AK53" i="1"/>
  <c r="DB56" i="1"/>
  <c r="DA56" i="1"/>
  <c r="CZ56" i="1"/>
  <c r="AQ61" i="1"/>
  <c r="AP61" i="1" s="1"/>
  <c r="AO61" i="1"/>
  <c r="W70" i="1"/>
  <c r="X70" i="1" s="1"/>
  <c r="V70" i="1"/>
  <c r="CX73" i="1"/>
  <c r="Y73" i="1"/>
  <c r="AM83" i="1"/>
  <c r="AN29" i="1"/>
  <c r="BT31" i="1"/>
  <c r="BW31" i="1" s="1"/>
  <c r="AN45" i="1"/>
  <c r="AN47" i="1"/>
  <c r="V49" i="1"/>
  <c r="BT49" i="1"/>
  <c r="BW49" i="1" s="1"/>
  <c r="AQ53" i="1"/>
  <c r="AP53" i="1" s="1"/>
  <c r="AN55" i="1"/>
  <c r="AL57" i="1"/>
  <c r="CX57" i="1"/>
  <c r="AQ60" i="1"/>
  <c r="AP60" i="1" s="1"/>
  <c r="AP70" i="1"/>
  <c r="AS70" i="1"/>
  <c r="Y86" i="1"/>
  <c r="CX86" i="1"/>
  <c r="CX89" i="1"/>
  <c r="Y89" i="1"/>
  <c r="CX90" i="1"/>
  <c r="Y90" i="1"/>
  <c r="BT30" i="1"/>
  <c r="BT38" i="1"/>
  <c r="BW38" i="1" s="1"/>
  <c r="V39" i="1"/>
  <c r="DC41" i="1"/>
  <c r="DB41" i="1"/>
  <c r="AN43" i="1"/>
  <c r="AN44" i="1"/>
  <c r="DA47" i="1"/>
  <c r="CZ47" i="1"/>
  <c r="AN49" i="1"/>
  <c r="V54" i="1"/>
  <c r="BT54" i="1"/>
  <c r="BW54" i="1" s="1"/>
  <c r="AL54" i="1"/>
  <c r="V57" i="1"/>
  <c r="CX62" i="1"/>
  <c r="Y62" i="1"/>
  <c r="AJ67" i="1"/>
  <c r="Y77" i="1"/>
  <c r="CX77" i="1"/>
  <c r="BT21" i="1"/>
  <c r="BW21" i="1" s="1"/>
  <c r="P10" i="4" s="1"/>
  <c r="BT29" i="1"/>
  <c r="BW29" i="1" s="1"/>
  <c r="BT37" i="1"/>
  <c r="BW37" i="1" s="1"/>
  <c r="V43" i="1"/>
  <c r="V46" i="1"/>
  <c r="AL46" i="1"/>
  <c r="BT46" i="1"/>
  <c r="BW46" i="1" s="1"/>
  <c r="AL48" i="1"/>
  <c r="BT48" i="1"/>
  <c r="BW48" i="1" s="1"/>
  <c r="AO53" i="1"/>
  <c r="AA57" i="1"/>
  <c r="DC57" i="1"/>
  <c r="DB57" i="1"/>
  <c r="DA57" i="1"/>
  <c r="CZ57" i="1"/>
  <c r="AN59" i="1"/>
  <c r="AL59" i="1"/>
  <c r="AS61" i="1"/>
  <c r="AK64" i="1"/>
  <c r="AY64" i="1"/>
  <c r="AZ64" i="1" s="1"/>
  <c r="AN65" i="1"/>
  <c r="AJ65" i="1"/>
  <c r="AQ67" i="1"/>
  <c r="AP67" i="1" s="1"/>
  <c r="AO67" i="1"/>
  <c r="AM70" i="1"/>
  <c r="AK70" i="1"/>
  <c r="BT28" i="1"/>
  <c r="BW28" i="1" s="1"/>
  <c r="BT36" i="1"/>
  <c r="BW36" i="1" s="1"/>
  <c r="CZ38" i="1"/>
  <c r="DB40" i="1"/>
  <c r="DA40" i="1"/>
  <c r="V42" i="1"/>
  <c r="W43" i="1"/>
  <c r="X43" i="1" s="1"/>
  <c r="V48" i="1"/>
  <c r="DC49" i="1"/>
  <c r="DB49" i="1"/>
  <c r="AN51" i="1"/>
  <c r="CZ52" i="1"/>
  <c r="DA54" i="1"/>
  <c r="AN58" i="1"/>
  <c r="AL58" i="1"/>
  <c r="V59" i="1"/>
  <c r="DB61" i="1"/>
  <c r="CZ61" i="1"/>
  <c r="DA61" i="1"/>
  <c r="AL62" i="1"/>
  <c r="V62" i="1"/>
  <c r="BT62" i="1"/>
  <c r="BW62" i="1" s="1"/>
  <c r="CX74" i="1"/>
  <c r="Y74" i="1"/>
  <c r="CX75" i="1"/>
  <c r="Y75" i="1"/>
  <c r="G10" i="4"/>
  <c r="L12" i="3"/>
  <c r="AL31" i="1"/>
  <c r="M10" i="3" s="1"/>
  <c r="V40" i="1"/>
  <c r="AL41" i="1"/>
  <c r="W42" i="1"/>
  <c r="X42" i="1" s="1"/>
  <c r="AL42" i="1"/>
  <c r="BT42" i="1"/>
  <c r="AL43" i="1"/>
  <c r="BT43" i="1"/>
  <c r="BW43" i="1" s="1"/>
  <c r="W45" i="1"/>
  <c r="X45" i="1" s="1"/>
  <c r="C8" i="4" s="1"/>
  <c r="B46" i="1"/>
  <c r="W47" i="1"/>
  <c r="X47" i="1" s="1"/>
  <c r="AN48" i="1"/>
  <c r="CZ48" i="1"/>
  <c r="CB49" i="1"/>
  <c r="CC2" i="1" s="1"/>
  <c r="CC4" i="1" s="1"/>
  <c r="AN50" i="1"/>
  <c r="V51" i="1"/>
  <c r="BT51" i="1"/>
  <c r="BW51" i="1" s="1"/>
  <c r="DA52" i="1"/>
  <c r="AS53" i="1"/>
  <c r="DB54" i="1"/>
  <c r="DA55" i="1"/>
  <c r="CZ55" i="1"/>
  <c r="AL56" i="1"/>
  <c r="V56" i="1"/>
  <c r="BT56" i="1"/>
  <c r="CX56" i="1"/>
  <c r="V58" i="1"/>
  <c r="CX58" i="1"/>
  <c r="W59" i="1"/>
  <c r="X59" i="1" s="1"/>
  <c r="AY60" i="1"/>
  <c r="AZ60" i="1" s="1"/>
  <c r="AM68" i="1"/>
  <c r="CX91" i="1"/>
  <c r="Y91" i="1"/>
  <c r="CB66" i="1"/>
  <c r="DC70" i="1"/>
  <c r="DB70" i="1"/>
  <c r="V71" i="1"/>
  <c r="AL71" i="1"/>
  <c r="DC73" i="1"/>
  <c r="DA73" i="1"/>
  <c r="BN78" i="1"/>
  <c r="AT78" i="1"/>
  <c r="BW80" i="1"/>
  <c r="CX82" i="1"/>
  <c r="Y82" i="1"/>
  <c r="Y85" i="1"/>
  <c r="CX85" i="1"/>
  <c r="CZ85" i="1"/>
  <c r="DC86" i="1"/>
  <c r="DB86" i="1"/>
  <c r="CZ86" i="1"/>
  <c r="AK94" i="1"/>
  <c r="AY94" i="1"/>
  <c r="AZ94" i="1" s="1"/>
  <c r="W96" i="1"/>
  <c r="X96" i="1" s="1"/>
  <c r="C14" i="4" s="1"/>
  <c r="V96" i="1"/>
  <c r="AQ97" i="1"/>
  <c r="AP97" i="1" s="1"/>
  <c r="AO97" i="1"/>
  <c r="CZ64" i="1"/>
  <c r="W66" i="1"/>
  <c r="X66" i="1" s="1"/>
  <c r="DA69" i="1"/>
  <c r="W71" i="1"/>
  <c r="X71" i="1" s="1"/>
  <c r="Z76" i="1"/>
  <c r="AV78" i="1"/>
  <c r="AX78" i="1" s="1"/>
  <c r="AJ79" i="1"/>
  <c r="AN80" i="1"/>
  <c r="AL80" i="1"/>
  <c r="Y83" i="1"/>
  <c r="AQ86" i="1"/>
  <c r="AN87" i="1"/>
  <c r="W87" i="1"/>
  <c r="X87" i="1" s="1"/>
  <c r="V87" i="1"/>
  <c r="CB87" i="1"/>
  <c r="W88" i="1"/>
  <c r="X88" i="1" s="1"/>
  <c r="B90" i="1"/>
  <c r="Y92" i="1"/>
  <c r="AQ94" i="1"/>
  <c r="AS97" i="1"/>
  <c r="AJ97" i="1"/>
  <c r="CX100" i="1"/>
  <c r="V101" i="1"/>
  <c r="BT101" i="1"/>
  <c r="BW101" i="1" s="1"/>
  <c r="AP102" i="1"/>
  <c r="AS102" i="1"/>
  <c r="AO105" i="1"/>
  <c r="AQ105" i="1"/>
  <c r="AP105" i="1" s="1"/>
  <c r="AK77" i="1"/>
  <c r="AY77" i="1"/>
  <c r="AZ77" i="1" s="1"/>
  <c r="AW81" i="1"/>
  <c r="AK81" i="1"/>
  <c r="G14" i="4"/>
  <c r="C11" i="3"/>
  <c r="L13" i="3"/>
  <c r="DB85" i="1"/>
  <c r="DA85" i="1"/>
  <c r="Y94" i="1"/>
  <c r="CX94" i="1"/>
  <c r="AA100" i="1"/>
  <c r="Z100" i="1"/>
  <c r="CX101" i="1"/>
  <c r="Y101" i="1"/>
  <c r="CX109" i="1"/>
  <c r="Y109" i="1"/>
  <c r="AL72" i="1"/>
  <c r="V73" i="1"/>
  <c r="BW84" i="1"/>
  <c r="AJ84" i="1"/>
  <c r="AN84" i="1"/>
  <c r="AL88" i="1"/>
  <c r="AN88" i="1" s="1"/>
  <c r="AM91" i="1"/>
  <c r="Z97" i="1"/>
  <c r="V99" i="1"/>
  <c r="AN99" i="1"/>
  <c r="AL99" i="1"/>
  <c r="W99" i="1"/>
  <c r="X99" i="1" s="1"/>
  <c r="CB62" i="1"/>
  <c r="T6" i="4" s="1"/>
  <c r="V6" i="4" s="1"/>
  <c r="W6" i="4" s="1"/>
  <c r="CZ65" i="1"/>
  <c r="AN66" i="1"/>
  <c r="BT66" i="1"/>
  <c r="BW66" i="1" s="1"/>
  <c r="CZ67" i="1"/>
  <c r="DC67" i="1"/>
  <c r="AL69" i="1"/>
  <c r="V72" i="1"/>
  <c r="AN73" i="1"/>
  <c r="CZ75" i="1"/>
  <c r="DC75" i="1"/>
  <c r="CZ77" i="1"/>
  <c r="W78" i="1"/>
  <c r="X78" i="1" s="1"/>
  <c r="V78" i="1"/>
  <c r="AK78" i="1"/>
  <c r="CB80" i="1"/>
  <c r="T12" i="4" s="1"/>
  <c r="V12" i="4" s="1"/>
  <c r="W12" i="4" s="1"/>
  <c r="V81" i="1"/>
  <c r="V88" i="1"/>
  <c r="AW89" i="1"/>
  <c r="AK89" i="1"/>
  <c r="AY91" i="1"/>
  <c r="AZ91" i="1" s="1"/>
  <c r="DB93" i="1"/>
  <c r="DA93" i="1"/>
  <c r="CZ93" i="1"/>
  <c r="V94" i="1"/>
  <c r="AW94" i="1"/>
  <c r="AJ103" i="1"/>
  <c r="AN63" i="1"/>
  <c r="DA65" i="1"/>
  <c r="CZ66" i="1"/>
  <c r="AN68" i="1"/>
  <c r="V69" i="1"/>
  <c r="AL75" i="1"/>
  <c r="AJ76" i="1"/>
  <c r="AN76" i="1"/>
  <c r="AQ77" i="1"/>
  <c r="AW77" i="1" s="1"/>
  <c r="AO77" i="1"/>
  <c r="DC78" i="1"/>
  <c r="DB78" i="1"/>
  <c r="CZ78" i="1"/>
  <c r="AN79" i="1"/>
  <c r="W79" i="1"/>
  <c r="X79" i="1" s="1"/>
  <c r="V79" i="1"/>
  <c r="AP81" i="1"/>
  <c r="AS81" i="1"/>
  <c r="AY83" i="1"/>
  <c r="AZ83" i="1" s="1"/>
  <c r="CX84" i="1"/>
  <c r="AM86" i="1"/>
  <c r="AW86" i="1"/>
  <c r="AL87" i="1"/>
  <c r="DC94" i="1"/>
  <c r="DB94" i="1"/>
  <c r="DA94" i="1"/>
  <c r="CZ94" i="1"/>
  <c r="BT99" i="1"/>
  <c r="BW99" i="1" s="1"/>
  <c r="AL101" i="1"/>
  <c r="AN101" i="1" s="1"/>
  <c r="BN61" i="1"/>
  <c r="V63" i="1"/>
  <c r="AJ63" i="1"/>
  <c r="DB65" i="1"/>
  <c r="DA66" i="1"/>
  <c r="BT69" i="1"/>
  <c r="BW69" i="1" s="1"/>
  <c r="CZ70" i="1"/>
  <c r="BT71" i="1"/>
  <c r="BW71" i="1" s="1"/>
  <c r="BT72" i="1"/>
  <c r="BW72" i="1" s="1"/>
  <c r="CZ73" i="1"/>
  <c r="V75" i="1"/>
  <c r="AN75" i="1"/>
  <c r="DB77" i="1"/>
  <c r="DA77" i="1"/>
  <c r="BW78" i="1"/>
  <c r="AP78" i="1"/>
  <c r="DC81" i="1"/>
  <c r="DB81" i="1"/>
  <c r="DA81" i="1"/>
  <c r="V89" i="1"/>
  <c r="AJ92" i="1"/>
  <c r="AN92" i="1"/>
  <c r="W93" i="1"/>
  <c r="X93" i="1" s="1"/>
  <c r="V93" i="1"/>
  <c r="AM94" i="1"/>
  <c r="V95" i="1"/>
  <c r="BT95" i="1"/>
  <c r="BW95" i="1" s="1"/>
  <c r="AN95" i="1"/>
  <c r="AL95" i="1"/>
  <c r="W95" i="1"/>
  <c r="X95" i="1" s="1"/>
  <c r="O7" i="4"/>
  <c r="Q7" i="4" s="1"/>
  <c r="R7" i="4" s="1"/>
  <c r="BW104" i="1"/>
  <c r="P7" i="4" s="1"/>
  <c r="AW105" i="1"/>
  <c r="AK105" i="1"/>
  <c r="AR105" i="1" s="1"/>
  <c r="AY105" i="1"/>
  <c r="AZ105" i="1" s="1"/>
  <c r="CX106" i="1"/>
  <c r="Y106" i="1"/>
  <c r="Y107" i="1"/>
  <c r="CX107" i="1"/>
  <c r="W63" i="1"/>
  <c r="X63" i="1" s="1"/>
  <c r="AN64" i="1"/>
  <c r="DC66" i="1"/>
  <c r="W67" i="1"/>
  <c r="X67" i="1" s="1"/>
  <c r="W68" i="1"/>
  <c r="X68" i="1" s="1"/>
  <c r="DA70" i="1"/>
  <c r="AM73" i="1"/>
  <c r="DB73" i="1"/>
  <c r="AO78" i="1"/>
  <c r="W80" i="1"/>
  <c r="X80" i="1" s="1"/>
  <c r="AM81" i="1"/>
  <c r="V83" i="1"/>
  <c r="AN83" i="1"/>
  <c r="BT83" i="1"/>
  <c r="BW83" i="1" s="1"/>
  <c r="Z84" i="1"/>
  <c r="AK86" i="1"/>
  <c r="DA86" i="1"/>
  <c r="BT87" i="1"/>
  <c r="BW87" i="1" s="1"/>
  <c r="AP89" i="1"/>
  <c r="AS89" i="1"/>
  <c r="CB101" i="1"/>
  <c r="T11" i="4" s="1"/>
  <c r="V11" i="4" s="1"/>
  <c r="W11" i="4" s="1"/>
  <c r="CX105" i="1"/>
  <c r="Y105" i="1"/>
  <c r="AY108" i="1"/>
  <c r="AZ108" i="1" s="1"/>
  <c r="DC109" i="1"/>
  <c r="AK110" i="1"/>
  <c r="AM110" i="1" s="1"/>
  <c r="AW110" i="1"/>
  <c r="AQ115" i="1"/>
  <c r="AO115" i="1"/>
  <c r="AK109" i="1"/>
  <c r="AY109" i="1"/>
  <c r="AZ109" i="1" s="1"/>
  <c r="Y127" i="1"/>
  <c r="CX127" i="1"/>
  <c r="CZ72" i="1"/>
  <c r="AL74" i="1"/>
  <c r="CZ80" i="1"/>
  <c r="AL82" i="1"/>
  <c r="BT86" i="1"/>
  <c r="BW86" i="1" s="1"/>
  <c r="CZ88" i="1"/>
  <c r="DA89" i="1"/>
  <c r="AL90" i="1"/>
  <c r="BT94" i="1"/>
  <c r="BW94" i="1" s="1"/>
  <c r="V107" i="1"/>
  <c r="Y108" i="1"/>
  <c r="V109" i="1"/>
  <c r="AL111" i="1"/>
  <c r="DC113" i="1"/>
  <c r="DB113" i="1"/>
  <c r="DA113" i="1"/>
  <c r="CZ113" i="1"/>
  <c r="CX115" i="1"/>
  <c r="Y115" i="1"/>
  <c r="Y119" i="1"/>
  <c r="CX119" i="1"/>
  <c r="AK123" i="1"/>
  <c r="AY123" i="1"/>
  <c r="AZ123" i="1" s="1"/>
  <c r="AY130" i="1"/>
  <c r="AZ130" i="1" s="1"/>
  <c r="AK130" i="1"/>
  <c r="AA133" i="1"/>
  <c r="Z133" i="1"/>
  <c r="BT77" i="1"/>
  <c r="BW77" i="1" s="1"/>
  <c r="G13" i="4"/>
  <c r="C10" i="3"/>
  <c r="L9" i="3"/>
  <c r="DA80" i="1"/>
  <c r="BT85" i="1"/>
  <c r="DA88" i="1"/>
  <c r="DB89" i="1"/>
  <c r="AN91" i="1"/>
  <c r="BT93" i="1"/>
  <c r="BW93" i="1" s="1"/>
  <c r="DC96" i="1"/>
  <c r="B99" i="1"/>
  <c r="DB99" i="1"/>
  <c r="DC103" i="1"/>
  <c r="DA103" i="1"/>
  <c r="AL107" i="1"/>
  <c r="AN107" i="1" s="1"/>
  <c r="DA107" i="1"/>
  <c r="AQ110" i="1"/>
  <c r="DA110" i="1"/>
  <c r="W111" i="1"/>
  <c r="X111" i="1" s="1"/>
  <c r="AN111" i="1"/>
  <c r="AN114" i="1"/>
  <c r="CX122" i="1"/>
  <c r="Y122" i="1"/>
  <c r="Z126" i="1"/>
  <c r="AA126" i="1"/>
  <c r="AY129" i="1"/>
  <c r="AZ129" i="1" s="1"/>
  <c r="AK129" i="1"/>
  <c r="AN74" i="1"/>
  <c r="V77" i="1"/>
  <c r="AN82" i="1"/>
  <c r="AK96" i="1"/>
  <c r="DC97" i="1"/>
  <c r="DA97" i="1"/>
  <c r="CB99" i="1"/>
  <c r="AK102" i="1"/>
  <c r="AR102" i="1" s="1"/>
  <c r="DB102" i="1"/>
  <c r="CZ102" i="1"/>
  <c r="V103" i="1"/>
  <c r="AN103" i="1"/>
  <c r="CB103" i="1"/>
  <c r="AL104" i="1"/>
  <c r="BT105" i="1"/>
  <c r="B107" i="1"/>
  <c r="DB107" i="1"/>
  <c r="AN109" i="1"/>
  <c r="BT111" i="1"/>
  <c r="AK118" i="1"/>
  <c r="AR118" i="1" s="1"/>
  <c r="AY118" i="1"/>
  <c r="AZ118" i="1" s="1"/>
  <c r="AW118" i="1"/>
  <c r="CX123" i="1"/>
  <c r="Y123" i="1"/>
  <c r="AQ124" i="1"/>
  <c r="AO124" i="1"/>
  <c r="Y135" i="1"/>
  <c r="CX135" i="1"/>
  <c r="BT91" i="1"/>
  <c r="BW91" i="1" s="1"/>
  <c r="CB97" i="1"/>
  <c r="BT98" i="1"/>
  <c r="BW98" i="1" s="1"/>
  <c r="AL98" i="1"/>
  <c r="AN98" i="1" s="1"/>
  <c r="BW100" i="1"/>
  <c r="G11" i="4"/>
  <c r="L8" i="3"/>
  <c r="AW102" i="1"/>
  <c r="DB110" i="1"/>
  <c r="CZ110" i="1"/>
  <c r="Y112" i="1"/>
  <c r="CX112" i="1"/>
  <c r="BT74" i="1"/>
  <c r="D10" i="3"/>
  <c r="BT82" i="1"/>
  <c r="BW82" i="1" s="1"/>
  <c r="BT90" i="1"/>
  <c r="BW90" i="1" s="1"/>
  <c r="V97" i="1"/>
  <c r="V98" i="1"/>
  <c r="Y102" i="1"/>
  <c r="CX102" i="1"/>
  <c r="Y103" i="1"/>
  <c r="AS105" i="1"/>
  <c r="CZ109" i="1"/>
  <c r="DC111" i="1"/>
  <c r="DA111" i="1"/>
  <c r="CZ111" i="1"/>
  <c r="AA114" i="1"/>
  <c r="Z114" i="1"/>
  <c r="CX116" i="1"/>
  <c r="Y116" i="1"/>
  <c r="CX117" i="1"/>
  <c r="Y117" i="1"/>
  <c r="AL85" i="1"/>
  <c r="AL93" i="1"/>
  <c r="AN96" i="1"/>
  <c r="W98" i="1"/>
  <c r="X98" i="1" s="1"/>
  <c r="AJ100" i="1"/>
  <c r="Z104" i="1"/>
  <c r="DC105" i="1"/>
  <c r="DA105" i="1"/>
  <c r="AK108" i="1"/>
  <c r="DB109" i="1"/>
  <c r="W110" i="1"/>
  <c r="X110" i="1" s="1"/>
  <c r="V110" i="1"/>
  <c r="AL113" i="1"/>
  <c r="V113" i="1"/>
  <c r="Y118" i="1"/>
  <c r="CX118" i="1"/>
  <c r="CX124" i="1"/>
  <c r="Y124" i="1"/>
  <c r="AA129" i="1"/>
  <c r="Z129" i="1"/>
  <c r="AL125" i="1"/>
  <c r="BT125" i="1"/>
  <c r="BW125" i="1" s="1"/>
  <c r="DA126" i="1"/>
  <c r="CZ126" i="1"/>
  <c r="W128" i="1"/>
  <c r="X128" i="1" s="1"/>
  <c r="CZ128" i="1"/>
  <c r="AM129" i="1"/>
  <c r="AW131" i="1"/>
  <c r="AY131" i="1"/>
  <c r="AZ131" i="1" s="1"/>
  <c r="AJ133" i="1"/>
  <c r="AL134" i="1"/>
  <c r="AO139" i="1"/>
  <c r="AQ139" i="1"/>
  <c r="AP145" i="1"/>
  <c r="AS145" i="1"/>
  <c r="AW148" i="1"/>
  <c r="AY148" i="1"/>
  <c r="AZ148" i="1" s="1"/>
  <c r="AK148" i="1"/>
  <c r="BT112" i="1"/>
  <c r="B116" i="1"/>
  <c r="AL116" i="1"/>
  <c r="AO118" i="1"/>
  <c r="V120" i="1"/>
  <c r="AK122" i="1"/>
  <c r="AN123" i="1"/>
  <c r="AL127" i="1"/>
  <c r="BT127" i="1"/>
  <c r="BW127" i="1" s="1"/>
  <c r="W131" i="1"/>
  <c r="X131" i="1" s="1"/>
  <c r="AK131" i="1"/>
  <c r="AN132" i="1"/>
  <c r="V134" i="1"/>
  <c r="CX142" i="1"/>
  <c r="Y142" i="1"/>
  <c r="DA143" i="1"/>
  <c r="DB143" i="1"/>
  <c r="CZ143" i="1"/>
  <c r="Y145" i="1"/>
  <c r="AO145" i="1"/>
  <c r="AY157" i="1"/>
  <c r="AZ157" i="1" s="1"/>
  <c r="AK157" i="1"/>
  <c r="W120" i="1"/>
  <c r="X120" i="1" s="1"/>
  <c r="AN121" i="1"/>
  <c r="AN125" i="1"/>
  <c r="DC128" i="1"/>
  <c r="DB128" i="1"/>
  <c r="AY137" i="1"/>
  <c r="AZ137" i="1" s="1"/>
  <c r="AJ138" i="1"/>
  <c r="AY140" i="1"/>
  <c r="AZ140" i="1" s="1"/>
  <c r="AK140" i="1"/>
  <c r="AM140" i="1" s="1"/>
  <c r="V148" i="1"/>
  <c r="W148" i="1"/>
  <c r="X148" i="1" s="1"/>
  <c r="AJ150" i="1"/>
  <c r="AN100" i="1"/>
  <c r="CZ104" i="1"/>
  <c r="AL106" i="1"/>
  <c r="AN108" i="1"/>
  <c r="CZ112" i="1"/>
  <c r="AL114" i="1"/>
  <c r="AW115" i="1"/>
  <c r="CZ115" i="1"/>
  <c r="AN116" i="1"/>
  <c r="BT116" i="1"/>
  <c r="V117" i="1"/>
  <c r="DB118" i="1"/>
  <c r="AL120" i="1"/>
  <c r="AN120" i="1" s="1"/>
  <c r="V121" i="1"/>
  <c r="V124" i="1"/>
  <c r="AJ124" i="1"/>
  <c r="AN127" i="1"/>
  <c r="CZ127" i="1"/>
  <c r="CB128" i="1"/>
  <c r="AN129" i="1"/>
  <c r="AN130" i="1"/>
  <c r="Y132" i="1"/>
  <c r="DC132" i="1"/>
  <c r="CZ132" i="1"/>
  <c r="V133" i="1"/>
  <c r="AN133" i="1"/>
  <c r="V135" i="1"/>
  <c r="AP140" i="1"/>
  <c r="AS140" i="1"/>
  <c r="Y143" i="1"/>
  <c r="CX143" i="1"/>
  <c r="AN150" i="1"/>
  <c r="CX165" i="1"/>
  <c r="Y165" i="1"/>
  <c r="BT109" i="1"/>
  <c r="DA112" i="1"/>
  <c r="DA115" i="1"/>
  <c r="AL117" i="1"/>
  <c r="DC118" i="1"/>
  <c r="CZ119" i="1"/>
  <c r="W121" i="1"/>
  <c r="X121" i="1" s="1"/>
  <c r="AN122" i="1"/>
  <c r="BT122" i="1"/>
  <c r="V123" i="1"/>
  <c r="CZ124" i="1"/>
  <c r="AL126" i="1"/>
  <c r="CX126" i="1"/>
  <c r="V129" i="1"/>
  <c r="CX129" i="1"/>
  <c r="AO131" i="1"/>
  <c r="AQ131" i="1"/>
  <c r="BT133" i="1"/>
  <c r="BW133" i="1" s="1"/>
  <c r="DB135" i="1"/>
  <c r="DA135" i="1"/>
  <c r="DC135" i="1"/>
  <c r="AN137" i="1"/>
  <c r="W137" i="1"/>
  <c r="X137" i="1" s="1"/>
  <c r="V137" i="1"/>
  <c r="BT137" i="1"/>
  <c r="AQ138" i="1"/>
  <c r="AP138" i="1" s="1"/>
  <c r="CX140" i="1"/>
  <c r="Y140" i="1"/>
  <c r="AO140" i="1"/>
  <c r="AN106" i="1"/>
  <c r="AL112" i="1"/>
  <c r="V118" i="1"/>
  <c r="DA119" i="1"/>
  <c r="AL121" i="1"/>
  <c r="AY122" i="1"/>
  <c r="AZ122" i="1" s="1"/>
  <c r="B124" i="1"/>
  <c r="DA124" i="1"/>
  <c r="V126" i="1"/>
  <c r="DB127" i="1"/>
  <c r="DA127" i="1"/>
  <c r="W139" i="1"/>
  <c r="X139" i="1" s="1"/>
  <c r="V139" i="1"/>
  <c r="AJ142" i="1"/>
  <c r="AL143" i="1"/>
  <c r="BT143" i="1"/>
  <c r="BW143" i="1" s="1"/>
  <c r="AN143" i="1"/>
  <c r="AM148" i="1"/>
  <c r="AS118" i="1"/>
  <c r="BN118" i="1" s="1"/>
  <c r="AL119" i="1"/>
  <c r="DB124" i="1"/>
  <c r="W125" i="1"/>
  <c r="X125" i="1" s="1"/>
  <c r="DB126" i="1"/>
  <c r="AL128" i="1"/>
  <c r="CX134" i="1"/>
  <c r="Y136" i="1"/>
  <c r="CX136" i="1"/>
  <c r="DB139" i="1"/>
  <c r="DA139" i="1"/>
  <c r="CZ139" i="1"/>
  <c r="AW140" i="1"/>
  <c r="CX157" i="1"/>
  <c r="Y157" i="1"/>
  <c r="V119" i="1"/>
  <c r="BT121" i="1"/>
  <c r="BW121" i="1" s="1"/>
  <c r="DC126" i="1"/>
  <c r="V128" i="1"/>
  <c r="BT128" i="1"/>
  <c r="BW128" i="1" s="1"/>
  <c r="Y130" i="1"/>
  <c r="DA131" i="1"/>
  <c r="AK132" i="1"/>
  <c r="BT134" i="1"/>
  <c r="BW134" i="1" s="1"/>
  <c r="AM137" i="1"/>
  <c r="Y144" i="1"/>
  <c r="CX144" i="1"/>
  <c r="Y149" i="1"/>
  <c r="CX150" i="1"/>
  <c r="Y150" i="1"/>
  <c r="AW156" i="1"/>
  <c r="AK156" i="1"/>
  <c r="AM156" i="1" s="1"/>
  <c r="AY156" i="1"/>
  <c r="AZ156" i="1" s="1"/>
  <c r="BT130" i="1"/>
  <c r="BW130" i="1" s="1"/>
  <c r="DB134" i="1"/>
  <c r="BT138" i="1"/>
  <c r="BW138" i="1" s="1"/>
  <c r="AY139" i="1"/>
  <c r="AZ139" i="1" s="1"/>
  <c r="DC140" i="1"/>
  <c r="DB141" i="1"/>
  <c r="DC145" i="1"/>
  <c r="DB145" i="1"/>
  <c r="DB148" i="1"/>
  <c r="AJ149" i="1"/>
  <c r="W152" i="1"/>
  <c r="X152" i="1" s="1"/>
  <c r="AN152" i="1"/>
  <c r="Y153" i="1"/>
  <c r="CX153" i="1"/>
  <c r="AA154" i="1"/>
  <c r="Z154" i="1"/>
  <c r="AW164" i="1"/>
  <c r="AK164" i="1"/>
  <c r="AY165" i="1"/>
  <c r="AZ165" i="1" s="1"/>
  <c r="AY168" i="1"/>
  <c r="AZ168" i="1" s="1"/>
  <c r="AK168" i="1"/>
  <c r="Y171" i="1"/>
  <c r="DC175" i="1"/>
  <c r="DB175" i="1"/>
  <c r="CZ175" i="1"/>
  <c r="DA175" i="1"/>
  <c r="AA183" i="1"/>
  <c r="Z183" i="1"/>
  <c r="T14" i="4"/>
  <c r="V14" i="4" s="1"/>
  <c r="W14" i="4" s="1"/>
  <c r="CB141" i="1"/>
  <c r="T13" i="4" s="1"/>
  <c r="V13" i="4" s="1"/>
  <c r="W13" i="4" s="1"/>
  <c r="AL147" i="1"/>
  <c r="DB152" i="1"/>
  <c r="DA152" i="1"/>
  <c r="CZ152" i="1"/>
  <c r="CX156" i="1"/>
  <c r="Y156" i="1"/>
  <c r="Y161" i="1"/>
  <c r="CX161" i="1"/>
  <c r="AL163" i="1"/>
  <c r="W163" i="1"/>
  <c r="X163" i="1" s="1"/>
  <c r="DA165" i="1"/>
  <c r="DB165" i="1"/>
  <c r="CZ165" i="1"/>
  <c r="B169" i="1"/>
  <c r="AP170" i="1"/>
  <c r="AS170" i="1"/>
  <c r="BT136" i="1"/>
  <c r="BW136" i="1" s="1"/>
  <c r="AK139" i="1"/>
  <c r="W141" i="1"/>
  <c r="X141" i="1" s="1"/>
  <c r="AK145" i="1"/>
  <c r="V146" i="1"/>
  <c r="V147" i="1"/>
  <c r="AN148" i="1"/>
  <c r="Z151" i="1"/>
  <c r="AL152" i="1"/>
  <c r="V152" i="1"/>
  <c r="AL155" i="1"/>
  <c r="W155" i="1"/>
  <c r="X155" i="1" s="1"/>
  <c r="BT155" i="1"/>
  <c r="BW155" i="1" s="1"/>
  <c r="V163" i="1"/>
  <c r="AM171" i="1"/>
  <c r="Y172" i="1"/>
  <c r="CX172" i="1"/>
  <c r="Y174" i="1"/>
  <c r="CX174" i="1"/>
  <c r="BT135" i="1"/>
  <c r="BW135" i="1" s="1"/>
  <c r="V136" i="1"/>
  <c r="B141" i="1"/>
  <c r="AL141" i="1"/>
  <c r="W146" i="1"/>
  <c r="X146" i="1" s="1"/>
  <c r="AL146" i="1"/>
  <c r="BT146" i="1"/>
  <c r="BW146" i="1" s="1"/>
  <c r="W147" i="1"/>
  <c r="X147" i="1" s="1"/>
  <c r="B149" i="1"/>
  <c r="V155" i="1"/>
  <c r="Y158" i="1"/>
  <c r="Z159" i="1"/>
  <c r="DB160" i="1"/>
  <c r="DA160" i="1"/>
  <c r="CZ160" i="1"/>
  <c r="DC161" i="1"/>
  <c r="DB161" i="1"/>
  <c r="DA161" i="1"/>
  <c r="CZ161" i="1"/>
  <c r="AL162" i="1"/>
  <c r="W162" i="1"/>
  <c r="X162" i="1" s="1"/>
  <c r="V162" i="1"/>
  <c r="AP164" i="1"/>
  <c r="AS164" i="1"/>
  <c r="CX164" i="1"/>
  <c r="Y164" i="1"/>
  <c r="CX168" i="1"/>
  <c r="Y168" i="1"/>
  <c r="AM164" i="1"/>
  <c r="CX170" i="1"/>
  <c r="Y170" i="1"/>
  <c r="BT124" i="1"/>
  <c r="BW124" i="1" s="1"/>
  <c r="BT132" i="1"/>
  <c r="BW132" i="1" s="1"/>
  <c r="CZ134" i="1"/>
  <c r="AL136" i="1"/>
  <c r="AN136" i="1" s="1"/>
  <c r="DB136" i="1"/>
  <c r="DA140" i="1"/>
  <c r="CZ141" i="1"/>
  <c r="AL144" i="1"/>
  <c r="AM145" i="1"/>
  <c r="CZ145" i="1"/>
  <c r="CZ148" i="1"/>
  <c r="AJ151" i="1"/>
  <c r="AN151" i="1"/>
  <c r="Y160" i="1"/>
  <c r="CX160" i="1"/>
  <c r="AM165" i="1"/>
  <c r="Y167" i="1"/>
  <c r="AL135" i="1"/>
  <c r="V140" i="1"/>
  <c r="AN142" i="1"/>
  <c r="V144" i="1"/>
  <c r="CB144" i="1"/>
  <c r="DA145" i="1"/>
  <c r="CB146" i="1"/>
  <c r="DA148" i="1"/>
  <c r="CZ150" i="1"/>
  <c r="DC150" i="1"/>
  <c r="DC153" i="1"/>
  <c r="DB153" i="1"/>
  <c r="DA153" i="1"/>
  <c r="CZ153" i="1"/>
  <c r="AN154" i="1"/>
  <c r="AL154" i="1"/>
  <c r="V154" i="1"/>
  <c r="AQ156" i="1"/>
  <c r="AJ158" i="1"/>
  <c r="AN158" i="1"/>
  <c r="AJ159" i="1"/>
  <c r="AN159" i="1"/>
  <c r="CB162" i="1"/>
  <c r="Y166" i="1"/>
  <c r="CX166" i="1"/>
  <c r="AO171" i="1"/>
  <c r="CX182" i="1"/>
  <c r="Y182" i="1"/>
  <c r="Y189" i="1"/>
  <c r="CX189" i="1"/>
  <c r="AL175" i="1"/>
  <c r="V175" i="1"/>
  <c r="CX181" i="1"/>
  <c r="Y181" i="1"/>
  <c r="CZ184" i="1"/>
  <c r="DA184" i="1"/>
  <c r="DC184" i="1"/>
  <c r="DB184" i="1"/>
  <c r="CX187" i="1"/>
  <c r="Y187" i="1"/>
  <c r="BT153" i="1"/>
  <c r="BW153" i="1" s="1"/>
  <c r="BT161" i="1"/>
  <c r="BW161" i="1" s="1"/>
  <c r="AL166" i="1"/>
  <c r="DC167" i="1"/>
  <c r="DB167" i="1"/>
  <c r="W177" i="1"/>
  <c r="X177" i="1" s="1"/>
  <c r="V177" i="1"/>
  <c r="BT177" i="1"/>
  <c r="BW177" i="1" s="1"/>
  <c r="AL177" i="1"/>
  <c r="AN177" i="1" s="1"/>
  <c r="AM180" i="1"/>
  <c r="AO189" i="1"/>
  <c r="AQ189" i="1"/>
  <c r="AP189" i="1" s="1"/>
  <c r="BT160" i="1"/>
  <c r="BW160" i="1" s="1"/>
  <c r="V161" i="1"/>
  <c r="DB164" i="1"/>
  <c r="V166" i="1"/>
  <c r="CB166" i="1"/>
  <c r="DB172" i="1"/>
  <c r="CZ172" i="1"/>
  <c r="AS173" i="1"/>
  <c r="AJ173" i="1"/>
  <c r="B175" i="1"/>
  <c r="W179" i="1"/>
  <c r="X179" i="1" s="1"/>
  <c r="DC189" i="1"/>
  <c r="CZ189" i="1"/>
  <c r="DB189" i="1"/>
  <c r="DA189" i="1"/>
  <c r="AN149" i="1"/>
  <c r="AN157" i="1"/>
  <c r="V160" i="1"/>
  <c r="AN165" i="1"/>
  <c r="BT165" i="1"/>
  <c r="BW165" i="1" s="1"/>
  <c r="CX184" i="1"/>
  <c r="Y184" i="1"/>
  <c r="BT150" i="1"/>
  <c r="V151" i="1"/>
  <c r="BT158" i="1"/>
  <c r="BW158" i="1" s="1"/>
  <c r="V159" i="1"/>
  <c r="V167" i="1"/>
  <c r="AR170" i="1"/>
  <c r="AK171" i="1"/>
  <c r="AR171" i="1" s="1"/>
  <c r="AY171" i="1"/>
  <c r="AZ171" i="1" s="1"/>
  <c r="W178" i="1"/>
  <c r="X178" i="1" s="1"/>
  <c r="V178" i="1"/>
  <c r="BT179" i="1"/>
  <c r="BW179" i="1" s="1"/>
  <c r="AL179" i="1"/>
  <c r="V179" i="1"/>
  <c r="AY181" i="1"/>
  <c r="AZ181" i="1" s="1"/>
  <c r="AK181" i="1"/>
  <c r="AK185" i="1"/>
  <c r="AY185" i="1"/>
  <c r="AZ185" i="1" s="1"/>
  <c r="AJ187" i="1"/>
  <c r="AY189" i="1"/>
  <c r="AZ189" i="1" s="1"/>
  <c r="AK189" i="1"/>
  <c r="BT149" i="1"/>
  <c r="CZ151" i="1"/>
  <c r="AL153" i="1"/>
  <c r="BT157" i="1"/>
  <c r="BW157" i="1" s="1"/>
  <c r="CZ159" i="1"/>
  <c r="AL161" i="1"/>
  <c r="AN166" i="1"/>
  <c r="BT166" i="1"/>
  <c r="BW166" i="1" s="1"/>
  <c r="V169" i="1"/>
  <c r="AN169" i="1"/>
  <c r="AW170" i="1"/>
  <c r="AY170" i="1"/>
  <c r="AZ170" i="1" s="1"/>
  <c r="V171" i="1"/>
  <c r="AS171" i="1"/>
  <c r="AW171" i="1"/>
  <c r="AL172" i="1"/>
  <c r="V172" i="1"/>
  <c r="AN172" i="1"/>
  <c r="Y173" i="1"/>
  <c r="DC173" i="1"/>
  <c r="DA173" i="1"/>
  <c r="CZ173" i="1"/>
  <c r="AQ182" i="1"/>
  <c r="AO182" i="1"/>
  <c r="AJ184" i="1"/>
  <c r="AN184" i="1"/>
  <c r="AJ195" i="1"/>
  <c r="AL160" i="1"/>
  <c r="AL167" i="1"/>
  <c r="W169" i="1"/>
  <c r="X169" i="1" s="1"/>
  <c r="AL169" i="1"/>
  <c r="AM170" i="1"/>
  <c r="W175" i="1"/>
  <c r="X175" i="1" s="1"/>
  <c r="AN175" i="1"/>
  <c r="AJ176" i="1"/>
  <c r="AQ178" i="1"/>
  <c r="AW178" i="1" s="1"/>
  <c r="AO178" i="1"/>
  <c r="AO181" i="1"/>
  <c r="AQ181" i="1"/>
  <c r="AA195" i="1"/>
  <c r="Z195" i="1"/>
  <c r="BT174" i="1"/>
  <c r="BW174" i="1" s="1"/>
  <c r="W176" i="1"/>
  <c r="X176" i="1" s="1"/>
  <c r="DC178" i="1"/>
  <c r="Y180" i="1"/>
  <c r="AK182" i="1"/>
  <c r="V187" i="1"/>
  <c r="AO190" i="1"/>
  <c r="W191" i="1"/>
  <c r="X191" i="1" s="1"/>
  <c r="BT191" i="1"/>
  <c r="BW191" i="1" s="1"/>
  <c r="CX198" i="1"/>
  <c r="Y198" i="1"/>
  <c r="V199" i="1"/>
  <c r="W201" i="1"/>
  <c r="X201" i="1" s="1"/>
  <c r="AS204" i="1"/>
  <c r="BN204" i="1" s="1"/>
  <c r="AY211" i="1"/>
  <c r="AZ211" i="1" s="1"/>
  <c r="AW211" i="1"/>
  <c r="AK211" i="1"/>
  <c r="AR211" i="1" s="1"/>
  <c r="AM178" i="1"/>
  <c r="B183" i="1"/>
  <c r="AL183" i="1"/>
  <c r="AN186" i="1"/>
  <c r="AN188" i="1"/>
  <c r="DA192" i="1"/>
  <c r="CZ192" i="1"/>
  <c r="DB192" i="1"/>
  <c r="AL193" i="1"/>
  <c r="V193" i="1"/>
  <c r="CX193" i="1"/>
  <c r="AN203" i="1"/>
  <c r="AL203" i="1"/>
  <c r="V203" i="1"/>
  <c r="CB203" i="1"/>
  <c r="CX206" i="1"/>
  <c r="Y206" i="1"/>
  <c r="AL191" i="1"/>
  <c r="AK197" i="1"/>
  <c r="AY197" i="1"/>
  <c r="AZ197" i="1" s="1"/>
  <c r="CX200" i="1"/>
  <c r="Y200" i="1"/>
  <c r="AV200" i="1"/>
  <c r="AX200" i="1" s="1"/>
  <c r="BN200" i="1"/>
  <c r="AT200" i="1"/>
  <c r="AL201" i="1"/>
  <c r="V201" i="1"/>
  <c r="CX203" i="1"/>
  <c r="Y203" i="1"/>
  <c r="CZ205" i="1"/>
  <c r="DB205" i="1"/>
  <c r="DA205" i="1"/>
  <c r="DC205" i="1"/>
  <c r="DB207" i="1"/>
  <c r="DA207" i="1"/>
  <c r="CZ207" i="1"/>
  <c r="DC207" i="1"/>
  <c r="V208" i="1"/>
  <c r="BT208" i="1"/>
  <c r="BW208" i="1" s="1"/>
  <c r="AL208" i="1"/>
  <c r="W208" i="1"/>
  <c r="X208" i="1" s="1"/>
  <c r="W211" i="1"/>
  <c r="X211" i="1" s="1"/>
  <c r="V211" i="1"/>
  <c r="CX212" i="1"/>
  <c r="Y212" i="1"/>
  <c r="BT171" i="1"/>
  <c r="BW171" i="1" s="1"/>
  <c r="CB179" i="1"/>
  <c r="BW180" i="1"/>
  <c r="P16" i="4" s="1"/>
  <c r="Q16" i="4" s="1"/>
  <c r="R16" i="4" s="1"/>
  <c r="AW182" i="1"/>
  <c r="CZ182" i="1"/>
  <c r="AN183" i="1"/>
  <c r="CZ186" i="1"/>
  <c r="AN187" i="1"/>
  <c r="W188" i="1"/>
  <c r="X188" i="1" s="1"/>
  <c r="AS190" i="1"/>
  <c r="AA193" i="1"/>
  <c r="W194" i="1"/>
  <c r="X194" i="1" s="1"/>
  <c r="AN197" i="1"/>
  <c r="CZ199" i="1"/>
  <c r="DC199" i="1"/>
  <c r="DA199" i="1"/>
  <c r="AW210" i="1"/>
  <c r="AK210" i="1"/>
  <c r="AJ218" i="1"/>
  <c r="AN168" i="1"/>
  <c r="AL174" i="1"/>
  <c r="AN176" i="1"/>
  <c r="AN180" i="1"/>
  <c r="L18" i="3"/>
  <c r="G16" i="4"/>
  <c r="DA182" i="1"/>
  <c r="DA186" i="1"/>
  <c r="AL188" i="1"/>
  <c r="BT188" i="1"/>
  <c r="V189" i="1"/>
  <c r="AJ190" i="1"/>
  <c r="AN191" i="1"/>
  <c r="AS192" i="1"/>
  <c r="AJ192" i="1"/>
  <c r="DB193" i="1"/>
  <c r="DA193" i="1"/>
  <c r="DC193" i="1"/>
  <c r="CX195" i="1"/>
  <c r="Y196" i="1"/>
  <c r="CX196" i="1"/>
  <c r="Y202" i="1"/>
  <c r="CX202" i="1"/>
  <c r="AM205" i="1"/>
  <c r="AL186" i="1"/>
  <c r="V192" i="1"/>
  <c r="AL194" i="1"/>
  <c r="BT194" i="1"/>
  <c r="BW194" i="1" s="1"/>
  <c r="AN194" i="1"/>
  <c r="AN195" i="1"/>
  <c r="V195" i="1"/>
  <c r="BT195" i="1"/>
  <c r="BW195" i="1" s="1"/>
  <c r="AJ199" i="1"/>
  <c r="AS199" i="1"/>
  <c r="AO200" i="1"/>
  <c r="BT201" i="1"/>
  <c r="BW201" i="1" s="1"/>
  <c r="DB201" i="1"/>
  <c r="DA201" i="1"/>
  <c r="CZ201" i="1"/>
  <c r="DC201" i="1"/>
  <c r="BT203" i="1"/>
  <c r="BW203" i="1" s="1"/>
  <c r="AA204" i="1"/>
  <c r="CX210" i="1"/>
  <c r="Y210" i="1"/>
  <c r="AQ210" i="1"/>
  <c r="AP210" i="1" s="1"/>
  <c r="CZ178" i="1"/>
  <c r="Y185" i="1"/>
  <c r="V186" i="1"/>
  <c r="DA187" i="1"/>
  <c r="Y192" i="1"/>
  <c r="AA197" i="1"/>
  <c r="Z197" i="1"/>
  <c r="AQ198" i="1"/>
  <c r="AO198" i="1"/>
  <c r="AQ199" i="1"/>
  <c r="AP199" i="1" s="1"/>
  <c r="AO199" i="1"/>
  <c r="AN201" i="1"/>
  <c r="Y207" i="1"/>
  <c r="CX207" i="1"/>
  <c r="V183" i="1"/>
  <c r="CB183" i="1"/>
  <c r="T7" i="4" s="1"/>
  <c r="V7" i="4" s="1"/>
  <c r="W7" i="4" s="1"/>
  <c r="AN185" i="1"/>
  <c r="W186" i="1"/>
  <c r="X186" i="1" s="1"/>
  <c r="Y190" i="1"/>
  <c r="AN193" i="1"/>
  <c r="B198" i="1"/>
  <c r="DA206" i="1"/>
  <c r="DC206" i="1"/>
  <c r="CZ206" i="1"/>
  <c r="AN208" i="1"/>
  <c r="BT196" i="1"/>
  <c r="AJ198" i="1"/>
  <c r="DB200" i="1"/>
  <c r="B204" i="1"/>
  <c r="AM211" i="1"/>
  <c r="AM212" i="1"/>
  <c r="AL213" i="1"/>
  <c r="AN213" i="1" s="1"/>
  <c r="AQ214" i="1"/>
  <c r="AP214" i="1" s="1"/>
  <c r="AO214" i="1"/>
  <c r="V218" i="1"/>
  <c r="AQ224" i="1"/>
  <c r="AO224" i="1"/>
  <c r="V213" i="1"/>
  <c r="BT213" i="1"/>
  <c r="BW213" i="1" s="1"/>
  <c r="DA214" i="1"/>
  <c r="CZ214" i="1"/>
  <c r="CX218" i="1"/>
  <c r="Y218" i="1"/>
  <c r="BT202" i="1"/>
  <c r="BW202" i="1" s="1"/>
  <c r="AQ204" i="1"/>
  <c r="AP204" i="1" s="1"/>
  <c r="DB210" i="1"/>
  <c r="DA210" i="1"/>
  <c r="AS211" i="1"/>
  <c r="AJ225" i="1"/>
  <c r="M15" i="3"/>
  <c r="DC216" i="1"/>
  <c r="DB216" i="1"/>
  <c r="DA216" i="1"/>
  <c r="CZ216" i="1"/>
  <c r="M19" i="3"/>
  <c r="AN223" i="1"/>
  <c r="AJ223" i="1"/>
  <c r="Z224" i="1"/>
  <c r="CZ194" i="1"/>
  <c r="DA195" i="1"/>
  <c r="AL196" i="1"/>
  <c r="AN196" i="1" s="1"/>
  <c r="CZ202" i="1"/>
  <c r="DA204" i="1"/>
  <c r="AN205" i="1"/>
  <c r="AL206" i="1"/>
  <c r="AL207" i="1"/>
  <c r="BT207" i="1"/>
  <c r="DB208" i="1"/>
  <c r="DC211" i="1"/>
  <c r="DB211" i="1"/>
  <c r="AL217" i="1"/>
  <c r="M18" i="3" s="1"/>
  <c r="W217" i="1"/>
  <c r="X217" i="1" s="1"/>
  <c r="C16" i="4" s="1"/>
  <c r="Y219" i="1"/>
  <c r="CX219" i="1"/>
  <c r="W220" i="1"/>
  <c r="X220" i="1" s="1"/>
  <c r="V220" i="1"/>
  <c r="CX222" i="1"/>
  <c r="Y222" i="1"/>
  <c r="C15" i="4"/>
  <c r="CX225" i="1"/>
  <c r="Y225" i="1"/>
  <c r="BT199" i="1"/>
  <c r="BW199" i="1" s="1"/>
  <c r="V207" i="1"/>
  <c r="CB208" i="1"/>
  <c r="W214" i="1"/>
  <c r="X214" i="1" s="1"/>
  <c r="V214" i="1"/>
  <c r="W216" i="1"/>
  <c r="X216" i="1" s="1"/>
  <c r="V217" i="1"/>
  <c r="CB217" i="1"/>
  <c r="T16" i="4" s="1"/>
  <c r="V16" i="4" s="1"/>
  <c r="W16" i="4" s="1"/>
  <c r="CX223" i="1"/>
  <c r="C17" i="4"/>
  <c r="DB194" i="1"/>
  <c r="AJ200" i="1"/>
  <c r="CZ200" i="1"/>
  <c r="AL202" i="1"/>
  <c r="DB202" i="1"/>
  <c r="V204" i="1"/>
  <c r="AJ204" i="1"/>
  <c r="W205" i="1"/>
  <c r="X205" i="1" s="1"/>
  <c r="AN206" i="1"/>
  <c r="AN209" i="1"/>
  <c r="W209" i="1"/>
  <c r="X209" i="1" s="1"/>
  <c r="AK209" i="1"/>
  <c r="AM209" i="1" s="1"/>
  <c r="V210" i="1"/>
  <c r="BT210" i="1"/>
  <c r="BW210" i="1" s="1"/>
  <c r="B212" i="1"/>
  <c r="AS214" i="1"/>
  <c r="AJ214" i="1"/>
  <c r="CB216" i="1"/>
  <c r="DA218" i="1"/>
  <c r="DB218" i="1"/>
  <c r="CZ218" i="1"/>
  <c r="AL219" i="1"/>
  <c r="BT219" i="1"/>
  <c r="BW219" i="1" s="1"/>
  <c r="AN219" i="1"/>
  <c r="V219" i="1"/>
  <c r="Y223" i="1"/>
  <c r="AY224" i="1"/>
  <c r="AZ224" i="1" s="1"/>
  <c r="AK224" i="1"/>
  <c r="AS210" i="1"/>
  <c r="W213" i="1"/>
  <c r="X213" i="1" s="1"/>
  <c r="DB214" i="1"/>
  <c r="W215" i="1"/>
  <c r="X215" i="1" s="1"/>
  <c r="V215" i="1"/>
  <c r="DB215" i="1"/>
  <c r="DA215" i="1"/>
  <c r="CZ215" i="1"/>
  <c r="AL216" i="1"/>
  <c r="V216" i="1"/>
  <c r="BT218" i="1"/>
  <c r="BW218" i="1" s="1"/>
  <c r="AN218" i="1"/>
  <c r="B224" i="1"/>
  <c r="Y15" i="4"/>
  <c r="BT215" i="1"/>
  <c r="BW215" i="1" s="1"/>
  <c r="DC220" i="1"/>
  <c r="DB220" i="1"/>
  <c r="DA223" i="1"/>
  <c r="V225" i="1"/>
  <c r="AN225" i="1"/>
  <c r="U4" i="4"/>
  <c r="AN212" i="1"/>
  <c r="CB220" i="1"/>
  <c r="L15" i="3"/>
  <c r="N15" i="3" s="1"/>
  <c r="O15" i="3" s="1"/>
  <c r="AS224" i="1"/>
  <c r="BT212" i="1"/>
  <c r="BW212" i="1" s="1"/>
  <c r="W221" i="1"/>
  <c r="X221" i="1" s="1"/>
  <c r="AL221" i="1"/>
  <c r="AN221" i="1" s="1"/>
  <c r="BT221" i="1"/>
  <c r="BW221" i="1" s="1"/>
  <c r="O17" i="4"/>
  <c r="AL215" i="1"/>
  <c r="AL220" i="1"/>
  <c r="AL222" i="1"/>
  <c r="BT222" i="1"/>
  <c r="BW222" i="1" s="1"/>
  <c r="G17" i="4"/>
  <c r="L19" i="3"/>
  <c r="N4" i="5"/>
  <c r="X5" i="5"/>
  <c r="Y5" i="5"/>
  <c r="U5" i="5" s="1"/>
  <c r="V5" i="5" s="1"/>
  <c r="U11" i="5"/>
  <c r="X13" i="5"/>
  <c r="Y13" i="5"/>
  <c r="X7" i="5"/>
  <c r="Y7" i="5"/>
  <c r="U7" i="5" s="1"/>
  <c r="V7" i="5" s="1"/>
  <c r="X15" i="5"/>
  <c r="Y15" i="5"/>
  <c r="N72" i="5"/>
  <c r="N74" i="5"/>
  <c r="N82" i="5"/>
  <c r="N104" i="5"/>
  <c r="R3" i="5"/>
  <c r="N8" i="5"/>
  <c r="N85" i="5"/>
  <c r="N87" i="5"/>
  <c r="N115" i="5"/>
  <c r="X9" i="5"/>
  <c r="Y9" i="5"/>
  <c r="U9" i="5" s="1"/>
  <c r="V9" i="5" s="1"/>
  <c r="U13" i="5"/>
  <c r="V13" i="5" s="1"/>
  <c r="N68" i="5"/>
  <c r="N70" i="5"/>
  <c r="N80" i="5"/>
  <c r="N96" i="5"/>
  <c r="BT224" i="1"/>
  <c r="BW224" i="1" s="1"/>
  <c r="P17" i="4" s="1"/>
  <c r="N3" i="5"/>
  <c r="U15" i="5"/>
  <c r="V15" i="5" s="1"/>
  <c r="N94" i="5"/>
  <c r="N105" i="5"/>
  <c r="N119" i="5"/>
  <c r="L2" i="5"/>
  <c r="K2" i="5"/>
  <c r="J2" i="5"/>
  <c r="I2" i="5"/>
  <c r="X11" i="5"/>
  <c r="V11" i="5"/>
  <c r="Y11" i="5"/>
  <c r="N78" i="5"/>
  <c r="N92" i="5"/>
  <c r="N99" i="5"/>
  <c r="N103" i="5"/>
  <c r="L5" i="5"/>
  <c r="L172" i="5"/>
  <c r="K172" i="5"/>
  <c r="J172" i="5"/>
  <c r="I172" i="5"/>
  <c r="L153" i="5"/>
  <c r="K153" i="5"/>
  <c r="I153" i="5"/>
  <c r="N153" i="5" s="1"/>
  <c r="L168" i="5"/>
  <c r="K168" i="5"/>
  <c r="J168" i="5"/>
  <c r="I168" i="5"/>
  <c r="X6" i="5"/>
  <c r="X8" i="5"/>
  <c r="X10" i="5"/>
  <c r="X12" i="5"/>
  <c r="X14" i="5"/>
  <c r="X16" i="5"/>
  <c r="I110" i="5"/>
  <c r="I114" i="5"/>
  <c r="N114" i="5" s="1"/>
  <c r="I118" i="5"/>
  <c r="N118" i="5" s="1"/>
  <c r="J153" i="5"/>
  <c r="N163" i="5"/>
  <c r="L164" i="5"/>
  <c r="K164" i="5"/>
  <c r="J164" i="5"/>
  <c r="I164" i="5"/>
  <c r="L188" i="5"/>
  <c r="K188" i="5"/>
  <c r="J188" i="5"/>
  <c r="I188" i="5"/>
  <c r="N188" i="5" s="1"/>
  <c r="Y4" i="5"/>
  <c r="U4" i="5" s="1"/>
  <c r="J107" i="5"/>
  <c r="J110" i="5"/>
  <c r="J114" i="5"/>
  <c r="J118" i="5"/>
  <c r="L120" i="5"/>
  <c r="K120" i="5"/>
  <c r="N120" i="5" s="1"/>
  <c r="L134" i="5"/>
  <c r="N134" i="5" s="1"/>
  <c r="K134" i="5"/>
  <c r="J134" i="5"/>
  <c r="L136" i="5"/>
  <c r="K136" i="5"/>
  <c r="J136" i="5"/>
  <c r="N136" i="5" s="1"/>
  <c r="L138" i="5"/>
  <c r="K138" i="5"/>
  <c r="J138" i="5"/>
  <c r="N138" i="5" s="1"/>
  <c r="N171" i="5"/>
  <c r="J182" i="5"/>
  <c r="L184" i="5"/>
  <c r="K184" i="5"/>
  <c r="J184" i="5"/>
  <c r="I184" i="5"/>
  <c r="N184" i="5" s="1"/>
  <c r="N185" i="5"/>
  <c r="I5" i="5"/>
  <c r="I7" i="5"/>
  <c r="I9" i="5"/>
  <c r="I11" i="5"/>
  <c r="I13" i="5"/>
  <c r="N13" i="5" s="1"/>
  <c r="I15" i="5"/>
  <c r="N15" i="5" s="1"/>
  <c r="I17" i="5"/>
  <c r="N17" i="5" s="1"/>
  <c r="I19" i="5"/>
  <c r="N19" i="5" s="1"/>
  <c r="I21" i="5"/>
  <c r="N21" i="5" s="1"/>
  <c r="I23" i="5"/>
  <c r="N23" i="5" s="1"/>
  <c r="I25" i="5"/>
  <c r="N25" i="5" s="1"/>
  <c r="I27" i="5"/>
  <c r="N27" i="5" s="1"/>
  <c r="I29" i="5"/>
  <c r="N29" i="5" s="1"/>
  <c r="I31" i="5"/>
  <c r="N31" i="5" s="1"/>
  <c r="I33" i="5"/>
  <c r="N33" i="5" s="1"/>
  <c r="I35" i="5"/>
  <c r="N35" i="5" s="1"/>
  <c r="I37" i="5"/>
  <c r="N37" i="5" s="1"/>
  <c r="I39" i="5"/>
  <c r="N39" i="5" s="1"/>
  <c r="I41" i="5"/>
  <c r="N41" i="5" s="1"/>
  <c r="I43" i="5"/>
  <c r="N43" i="5" s="1"/>
  <c r="I45" i="5"/>
  <c r="N45" i="5" s="1"/>
  <c r="I47" i="5"/>
  <c r="N47" i="5" s="1"/>
  <c r="I49" i="5"/>
  <c r="N49" i="5" s="1"/>
  <c r="I51" i="5"/>
  <c r="N51" i="5" s="1"/>
  <c r="I53" i="5"/>
  <c r="N53" i="5" s="1"/>
  <c r="I55" i="5"/>
  <c r="N55" i="5" s="1"/>
  <c r="I57" i="5"/>
  <c r="N57" i="5" s="1"/>
  <c r="I59" i="5"/>
  <c r="N59" i="5" s="1"/>
  <c r="I61" i="5"/>
  <c r="N61" i="5" s="1"/>
  <c r="I63" i="5"/>
  <c r="N63" i="5" s="1"/>
  <c r="I65" i="5"/>
  <c r="N65" i="5" s="1"/>
  <c r="I67" i="5"/>
  <c r="N67" i="5" s="1"/>
  <c r="I69" i="5"/>
  <c r="N69" i="5" s="1"/>
  <c r="I71" i="5"/>
  <c r="N71" i="5" s="1"/>
  <c r="I73" i="5"/>
  <c r="N73" i="5" s="1"/>
  <c r="I75" i="5"/>
  <c r="N75" i="5" s="1"/>
  <c r="I77" i="5"/>
  <c r="N77" i="5" s="1"/>
  <c r="I79" i="5"/>
  <c r="N79" i="5" s="1"/>
  <c r="I81" i="5"/>
  <c r="N81" i="5" s="1"/>
  <c r="I83" i="5"/>
  <c r="N83" i="5" s="1"/>
  <c r="K107" i="5"/>
  <c r="N107" i="5" s="1"/>
  <c r="K110" i="5"/>
  <c r="K114" i="5"/>
  <c r="K118" i="5"/>
  <c r="L122" i="5"/>
  <c r="K122" i="5"/>
  <c r="L124" i="5"/>
  <c r="N124" i="5" s="1"/>
  <c r="K124" i="5"/>
  <c r="L126" i="5"/>
  <c r="K126" i="5"/>
  <c r="L128" i="5"/>
  <c r="K128" i="5"/>
  <c r="L130" i="5"/>
  <c r="K130" i="5"/>
  <c r="L132" i="5"/>
  <c r="K132" i="5"/>
  <c r="J132" i="5"/>
  <c r="N132" i="5" s="1"/>
  <c r="L140" i="5"/>
  <c r="K140" i="5"/>
  <c r="J140" i="5"/>
  <c r="N140" i="5" s="1"/>
  <c r="L142" i="5"/>
  <c r="K142" i="5"/>
  <c r="J142" i="5"/>
  <c r="N142" i="5" s="1"/>
  <c r="L144" i="5"/>
  <c r="K144" i="5"/>
  <c r="N144" i="5" s="1"/>
  <c r="J144" i="5"/>
  <c r="L146" i="5"/>
  <c r="K146" i="5"/>
  <c r="J146" i="5"/>
  <c r="N149" i="5"/>
  <c r="L151" i="5"/>
  <c r="K151" i="5"/>
  <c r="J151" i="5"/>
  <c r="I151" i="5"/>
  <c r="N159" i="5"/>
  <c r="L160" i="5"/>
  <c r="K160" i="5"/>
  <c r="J160" i="5"/>
  <c r="I160" i="5"/>
  <c r="N179" i="5"/>
  <c r="L180" i="5"/>
  <c r="K180" i="5"/>
  <c r="J180" i="5"/>
  <c r="I180" i="5"/>
  <c r="N180" i="5" s="1"/>
  <c r="J5" i="5"/>
  <c r="J7" i="5"/>
  <c r="J9" i="5"/>
  <c r="J11" i="5"/>
  <c r="L107" i="5"/>
  <c r="N122" i="5"/>
  <c r="N126" i="5"/>
  <c r="N130" i="5"/>
  <c r="N146" i="5"/>
  <c r="L148" i="5"/>
  <c r="K148" i="5"/>
  <c r="J148" i="5"/>
  <c r="L176" i="5"/>
  <c r="K176" i="5"/>
  <c r="J176" i="5"/>
  <c r="I176" i="5"/>
  <c r="N177" i="5"/>
  <c r="I108" i="5"/>
  <c r="N108" i="5" s="1"/>
  <c r="I112" i="5"/>
  <c r="N112" i="5" s="1"/>
  <c r="I116" i="5"/>
  <c r="N116" i="5" s="1"/>
  <c r="J120" i="5"/>
  <c r="J122" i="5"/>
  <c r="J124" i="5"/>
  <c r="J126" i="5"/>
  <c r="J128" i="5"/>
  <c r="N128" i="5" s="1"/>
  <c r="J130" i="5"/>
  <c r="I148" i="5"/>
  <c r="N155" i="5"/>
  <c r="L196" i="5"/>
  <c r="K196" i="5"/>
  <c r="N196" i="5" s="1"/>
  <c r="J196" i="5"/>
  <c r="N205" i="5"/>
  <c r="L206" i="5"/>
  <c r="K206" i="5"/>
  <c r="J206" i="5"/>
  <c r="I206" i="5"/>
  <c r="K155" i="5"/>
  <c r="N207" i="5"/>
  <c r="L208" i="5"/>
  <c r="K208" i="5"/>
  <c r="J208" i="5"/>
  <c r="I208" i="5"/>
  <c r="L192" i="5"/>
  <c r="K192" i="5"/>
  <c r="J192" i="5"/>
  <c r="L210" i="5"/>
  <c r="K210" i="5"/>
  <c r="J210" i="5"/>
  <c r="I210" i="5"/>
  <c r="N210" i="5" s="1"/>
  <c r="L198" i="5"/>
  <c r="K198" i="5"/>
  <c r="J198" i="5"/>
  <c r="L212" i="5"/>
  <c r="K212" i="5"/>
  <c r="J212" i="5"/>
  <c r="I212" i="5"/>
  <c r="J156" i="5"/>
  <c r="N156" i="5" s="1"/>
  <c r="I192" i="5"/>
  <c r="N213" i="5"/>
  <c r="L214" i="5"/>
  <c r="K214" i="5"/>
  <c r="J214" i="5"/>
  <c r="I214" i="5"/>
  <c r="I154" i="5"/>
  <c r="K156" i="5"/>
  <c r="I157" i="5"/>
  <c r="N157" i="5" s="1"/>
  <c r="L194" i="5"/>
  <c r="K194" i="5"/>
  <c r="J194" i="5"/>
  <c r="I198" i="5"/>
  <c r="N199" i="5"/>
  <c r="L200" i="5"/>
  <c r="K200" i="5"/>
  <c r="J200" i="5"/>
  <c r="I200" i="5"/>
  <c r="N200" i="5" s="1"/>
  <c r="N215" i="5"/>
  <c r="L216" i="5"/>
  <c r="K216" i="5"/>
  <c r="J216" i="5"/>
  <c r="I216" i="5"/>
  <c r="I121" i="5"/>
  <c r="N121" i="5" s="1"/>
  <c r="I123" i="5"/>
  <c r="N123" i="5" s="1"/>
  <c r="I125" i="5"/>
  <c r="N125" i="5" s="1"/>
  <c r="I127" i="5"/>
  <c r="N127" i="5" s="1"/>
  <c r="I129" i="5"/>
  <c r="N129" i="5" s="1"/>
  <c r="I131" i="5"/>
  <c r="N131" i="5" s="1"/>
  <c r="I133" i="5"/>
  <c r="N133" i="5" s="1"/>
  <c r="J154" i="5"/>
  <c r="L158" i="5"/>
  <c r="K158" i="5"/>
  <c r="N158" i="5" s="1"/>
  <c r="L162" i="5"/>
  <c r="K162" i="5"/>
  <c r="N162" i="5" s="1"/>
  <c r="L166" i="5"/>
  <c r="K166" i="5"/>
  <c r="N166" i="5" s="1"/>
  <c r="L170" i="5"/>
  <c r="K170" i="5"/>
  <c r="N170" i="5" s="1"/>
  <c r="L174" i="5"/>
  <c r="N174" i="5" s="1"/>
  <c r="K174" i="5"/>
  <c r="L178" i="5"/>
  <c r="K178" i="5"/>
  <c r="N178" i="5" s="1"/>
  <c r="L182" i="5"/>
  <c r="K182" i="5"/>
  <c r="L186" i="5"/>
  <c r="K186" i="5"/>
  <c r="N186" i="5" s="1"/>
  <c r="L190" i="5"/>
  <c r="K190" i="5"/>
  <c r="N190" i="5" s="1"/>
  <c r="N201" i="5"/>
  <c r="L202" i="5"/>
  <c r="K202" i="5"/>
  <c r="J202" i="5"/>
  <c r="I202" i="5"/>
  <c r="L218" i="5"/>
  <c r="K218" i="5"/>
  <c r="J218" i="5"/>
  <c r="I218" i="5"/>
  <c r="N218" i="5" s="1"/>
  <c r="K154" i="5"/>
  <c r="I194" i="5"/>
  <c r="L204" i="5"/>
  <c r="K204" i="5"/>
  <c r="J204" i="5"/>
  <c r="I204" i="5"/>
  <c r="N204" i="5" s="1"/>
  <c r="AO196" i="1" l="1"/>
  <c r="AQ196" i="1"/>
  <c r="AP196" i="1" s="1"/>
  <c r="AQ120" i="1"/>
  <c r="AP120" i="1" s="1"/>
  <c r="AO120" i="1"/>
  <c r="AQ101" i="1"/>
  <c r="AP101" i="1" s="1"/>
  <c r="AO101" i="1"/>
  <c r="AO221" i="1"/>
  <c r="AQ221" i="1"/>
  <c r="AP221" i="1" s="1"/>
  <c r="V5" i="4"/>
  <c r="AQ177" i="1"/>
  <c r="AP177" i="1" s="1"/>
  <c r="AO177" i="1"/>
  <c r="AQ98" i="1"/>
  <c r="AP98" i="1" s="1"/>
  <c r="AO98" i="1"/>
  <c r="AQ107" i="1"/>
  <c r="AP107" i="1" s="1"/>
  <c r="AO107" i="1"/>
  <c r="AO88" i="1"/>
  <c r="AQ88" i="1"/>
  <c r="AP88" i="1" s="1"/>
  <c r="AQ213" i="1"/>
  <c r="AP213" i="1" s="1"/>
  <c r="AO213" i="1"/>
  <c r="AQ136" i="1"/>
  <c r="AP136" i="1" s="1"/>
  <c r="AO136" i="1"/>
  <c r="AJ175" i="1"/>
  <c r="AA160" i="1"/>
  <c r="Z160" i="1"/>
  <c r="Y155" i="1"/>
  <c r="CX155" i="1"/>
  <c r="AA171" i="1"/>
  <c r="Z171" i="1"/>
  <c r="AQ108" i="1"/>
  <c r="AO108" i="1"/>
  <c r="AQ96" i="1"/>
  <c r="AO96" i="1"/>
  <c r="AQ66" i="1"/>
  <c r="AO66" i="1"/>
  <c r="AJ215" i="1"/>
  <c r="AN215" i="1"/>
  <c r="AA222" i="1"/>
  <c r="Z222" i="1"/>
  <c r="N198" i="5"/>
  <c r="N11" i="5"/>
  <c r="Y215" i="1"/>
  <c r="CX215" i="1"/>
  <c r="CX220" i="1"/>
  <c r="Y220" i="1"/>
  <c r="AQ205" i="1"/>
  <c r="AO205" i="1"/>
  <c r="AK218" i="1"/>
  <c r="AY218" i="1"/>
  <c r="AZ218" i="1" s="1"/>
  <c r="AW218" i="1"/>
  <c r="AQ169" i="1"/>
  <c r="AP169" i="1" s="1"/>
  <c r="AO169" i="1"/>
  <c r="D13" i="3"/>
  <c r="E13" i="3" s="1"/>
  <c r="F13" i="3" s="1"/>
  <c r="AJ179" i="1"/>
  <c r="AA182" i="1"/>
  <c r="Z182" i="1"/>
  <c r="AQ154" i="1"/>
  <c r="AP154" i="1" s="1"/>
  <c r="AO154" i="1"/>
  <c r="CX121" i="1"/>
  <c r="Y121" i="1"/>
  <c r="N194" i="5"/>
  <c r="N9" i="5"/>
  <c r="N182" i="5"/>
  <c r="Y17" i="4"/>
  <c r="CX221" i="1"/>
  <c r="Y221" i="1"/>
  <c r="AK214" i="1"/>
  <c r="AY214" i="1"/>
  <c r="AZ214" i="1" s="1"/>
  <c r="AW214" i="1"/>
  <c r="AJ202" i="1"/>
  <c r="AA225" i="1"/>
  <c r="B15" i="4" s="1"/>
  <c r="D15" i="4" s="1"/>
  <c r="E15" i="4" s="1"/>
  <c r="Z225" i="1"/>
  <c r="AO223" i="1"/>
  <c r="AQ223" i="1"/>
  <c r="AN202" i="1"/>
  <c r="Z185" i="1"/>
  <c r="AA185" i="1"/>
  <c r="BN192" i="1"/>
  <c r="AV192" i="1"/>
  <c r="AX192" i="1" s="1"/>
  <c r="AT192" i="1"/>
  <c r="AA212" i="1"/>
  <c r="Z212" i="1"/>
  <c r="AJ191" i="1"/>
  <c r="AU211" i="1"/>
  <c r="BM211" i="1"/>
  <c r="AA198" i="1"/>
  <c r="Z198" i="1"/>
  <c r="AK176" i="1"/>
  <c r="AY176" i="1"/>
  <c r="AZ176" i="1" s="1"/>
  <c r="AJ160" i="1"/>
  <c r="AN160" i="1"/>
  <c r="AP182" i="1"/>
  <c r="AS182" i="1"/>
  <c r="AJ172" i="1"/>
  <c r="AM185" i="1"/>
  <c r="AN179" i="1"/>
  <c r="AA168" i="1"/>
  <c r="Z168" i="1"/>
  <c r="Y162" i="1"/>
  <c r="CX162" i="1"/>
  <c r="Y147" i="1"/>
  <c r="CX147" i="1"/>
  <c r="AJ152" i="1"/>
  <c r="AR139" i="1"/>
  <c r="AM139" i="1"/>
  <c r="Y163" i="1"/>
  <c r="CX163" i="1"/>
  <c r="AR164" i="1"/>
  <c r="Y152" i="1"/>
  <c r="CX152" i="1"/>
  <c r="CX125" i="1"/>
  <c r="Y125" i="1"/>
  <c r="CX139" i="1"/>
  <c r="Y139" i="1"/>
  <c r="AJ121" i="1"/>
  <c r="AJ126" i="1"/>
  <c r="AN126" i="1"/>
  <c r="AO129" i="1"/>
  <c r="AQ129" i="1"/>
  <c r="AJ114" i="1"/>
  <c r="AY150" i="1"/>
  <c r="AZ150" i="1" s="1"/>
  <c r="AK150" i="1"/>
  <c r="AS138" i="1"/>
  <c r="CX120" i="1"/>
  <c r="Y120" i="1"/>
  <c r="AJ116" i="1"/>
  <c r="AJ125" i="1"/>
  <c r="Y110" i="1"/>
  <c r="CX110" i="1"/>
  <c r="M8" i="3"/>
  <c r="M20" i="3" s="1"/>
  <c r="AA116" i="1"/>
  <c r="Z116" i="1"/>
  <c r="AV105" i="1"/>
  <c r="AX105" i="1" s="1"/>
  <c r="AT105" i="1"/>
  <c r="BN105" i="1"/>
  <c r="AA112" i="1"/>
  <c r="Z112" i="1"/>
  <c r="P11" i="4"/>
  <c r="AQ91" i="1"/>
  <c r="AO91" i="1"/>
  <c r="AM105" i="1"/>
  <c r="D16" i="3"/>
  <c r="E16" i="3" s="1"/>
  <c r="F16" i="3" s="1"/>
  <c r="AJ82" i="1"/>
  <c r="AO64" i="1"/>
  <c r="AQ64" i="1"/>
  <c r="AJ87" i="1"/>
  <c r="BN81" i="1"/>
  <c r="AT81" i="1"/>
  <c r="AV81" i="1"/>
  <c r="AX81" i="1" s="1"/>
  <c r="AJ99" i="1"/>
  <c r="P14" i="4"/>
  <c r="AA85" i="1"/>
  <c r="Z85" i="1"/>
  <c r="AJ43" i="1"/>
  <c r="N12" i="3"/>
  <c r="O12" i="3" s="1"/>
  <c r="AJ58" i="1"/>
  <c r="AJ48" i="1"/>
  <c r="Z86" i="1"/>
  <c r="AA86" i="1"/>
  <c r="AK55" i="1"/>
  <c r="AY55" i="1"/>
  <c r="AZ55" i="1" s="1"/>
  <c r="AW60" i="1"/>
  <c r="AW19" i="1"/>
  <c r="AY19" i="1"/>
  <c r="AZ19" i="1" s="1"/>
  <c r="AK19" i="1"/>
  <c r="AQ30" i="1"/>
  <c r="AO30" i="1"/>
  <c r="AO16" i="1"/>
  <c r="AQ16" i="1"/>
  <c r="AP16" i="1" s="1"/>
  <c r="AK12" i="1"/>
  <c r="AY12" i="1"/>
  <c r="AZ12" i="1" s="1"/>
  <c r="AO9" i="1"/>
  <c r="AQ9" i="1"/>
  <c r="AM51" i="1"/>
  <c r="AA38" i="1"/>
  <c r="Z38" i="1"/>
  <c r="AP36" i="1"/>
  <c r="AS36" i="1"/>
  <c r="AQ37" i="1"/>
  <c r="AO37" i="1"/>
  <c r="AY28" i="1"/>
  <c r="AZ28" i="1" s="1"/>
  <c r="AK28" i="1"/>
  <c r="AA18" i="1"/>
  <c r="Z18" i="1"/>
  <c r="AW36" i="1"/>
  <c r="AA61" i="1"/>
  <c r="Z61" i="1"/>
  <c r="AU10" i="1"/>
  <c r="BM10" i="1"/>
  <c r="AA11" i="1"/>
  <c r="Z11" i="1"/>
  <c r="N206" i="5"/>
  <c r="N160" i="5"/>
  <c r="N7" i="5"/>
  <c r="U3" i="5"/>
  <c r="V4" i="5"/>
  <c r="V3" i="5" s="1"/>
  <c r="AQ212" i="1"/>
  <c r="AO212" i="1"/>
  <c r="AJ216" i="1"/>
  <c r="AN216" i="1"/>
  <c r="CX213" i="1"/>
  <c r="Y213" i="1"/>
  <c r="AJ219" i="1"/>
  <c r="BN214" i="1"/>
  <c r="AT214" i="1"/>
  <c r="AV214" i="1"/>
  <c r="AX214" i="1" s="1"/>
  <c r="AO206" i="1"/>
  <c r="AQ206" i="1"/>
  <c r="AP206" i="1" s="1"/>
  <c r="Y216" i="1"/>
  <c r="CX216" i="1"/>
  <c r="AA219" i="1"/>
  <c r="Z219" i="1"/>
  <c r="AQ193" i="1"/>
  <c r="AP193" i="1" s="1"/>
  <c r="AO193" i="1"/>
  <c r="AJ186" i="1"/>
  <c r="AA196" i="1"/>
  <c r="Z196" i="1"/>
  <c r="Y16" i="4"/>
  <c r="AR210" i="1"/>
  <c r="AM210" i="1"/>
  <c r="AO197" i="1"/>
  <c r="AQ197" i="1"/>
  <c r="AA206" i="1"/>
  <c r="Z206" i="1"/>
  <c r="AO188" i="1"/>
  <c r="AQ188" i="1"/>
  <c r="AP188" i="1" s="1"/>
  <c r="AR182" i="1"/>
  <c r="AM182" i="1"/>
  <c r="AK195" i="1"/>
  <c r="AY195" i="1"/>
  <c r="AZ195" i="1" s="1"/>
  <c r="AM189" i="1"/>
  <c r="AR189" i="1"/>
  <c r="AM181" i="1"/>
  <c r="Z187" i="1"/>
  <c r="AA187" i="1"/>
  <c r="AQ158" i="1"/>
  <c r="AO158" i="1"/>
  <c r="AJ162" i="1"/>
  <c r="AJ163" i="1"/>
  <c r="AY149" i="1"/>
  <c r="AZ149" i="1" s="1"/>
  <c r="AW149" i="1"/>
  <c r="AK149" i="1"/>
  <c r="Z150" i="1"/>
  <c r="AA150" i="1"/>
  <c r="AQ143" i="1"/>
  <c r="AP143" i="1" s="1"/>
  <c r="AO143" i="1"/>
  <c r="AM132" i="1"/>
  <c r="AQ133" i="1"/>
  <c r="AO133" i="1"/>
  <c r="AS120" i="1"/>
  <c r="AJ120" i="1"/>
  <c r="CX148" i="1"/>
  <c r="Y148" i="1"/>
  <c r="AJ127" i="1"/>
  <c r="AP139" i="1"/>
  <c r="AS139" i="1"/>
  <c r="AA118" i="1"/>
  <c r="Z118" i="1"/>
  <c r="CX98" i="1"/>
  <c r="Y98" i="1"/>
  <c r="Z103" i="1"/>
  <c r="AA103" i="1"/>
  <c r="M9" i="3"/>
  <c r="O11" i="4"/>
  <c r="BM118" i="1"/>
  <c r="AU118" i="1"/>
  <c r="AJ104" i="1"/>
  <c r="BM102" i="1"/>
  <c r="AU102" i="1"/>
  <c r="AQ74" i="1"/>
  <c r="AP74" i="1" s="1"/>
  <c r="AO74" i="1"/>
  <c r="AQ114" i="1"/>
  <c r="AP114" i="1" s="1"/>
  <c r="AO114" i="1"/>
  <c r="Y63" i="1"/>
  <c r="CX63" i="1"/>
  <c r="AQ75" i="1"/>
  <c r="AP75" i="1" s="1"/>
  <c r="AO75" i="1"/>
  <c r="AS101" i="1"/>
  <c r="AJ101" i="1"/>
  <c r="AS77" i="1"/>
  <c r="AP77" i="1"/>
  <c r="AR77" i="1" s="1"/>
  <c r="AQ99" i="1"/>
  <c r="AP99" i="1" s="1"/>
  <c r="AO99" i="1"/>
  <c r="O14" i="4"/>
  <c r="Q14" i="4" s="1"/>
  <c r="R14" i="4" s="1"/>
  <c r="AA101" i="1"/>
  <c r="B11" i="4" s="1"/>
  <c r="D11" i="4" s="1"/>
  <c r="E11" i="4" s="1"/>
  <c r="Z101" i="1"/>
  <c r="AK97" i="1"/>
  <c r="AY97" i="1"/>
  <c r="AZ97" i="1" s="1"/>
  <c r="AW97" i="1"/>
  <c r="AO80" i="1"/>
  <c r="AQ80" i="1"/>
  <c r="AP80" i="1" s="1"/>
  <c r="Y66" i="1"/>
  <c r="CX66" i="1"/>
  <c r="AA82" i="1"/>
  <c r="Z82" i="1"/>
  <c r="AA91" i="1"/>
  <c r="Z91" i="1"/>
  <c r="Y10" i="4"/>
  <c r="AO51" i="1"/>
  <c r="AQ51" i="1"/>
  <c r="AR70" i="1"/>
  <c r="AM64" i="1"/>
  <c r="O6" i="4"/>
  <c r="BW30" i="1"/>
  <c r="P6" i="4" s="1"/>
  <c r="AV70" i="1"/>
  <c r="AX70" i="1" s="1"/>
  <c r="AT70" i="1"/>
  <c r="BN70" i="1"/>
  <c r="AQ39" i="1"/>
  <c r="AO39" i="1"/>
  <c r="AA30" i="1"/>
  <c r="Z30" i="1"/>
  <c r="Y7" i="4"/>
  <c r="AJ32" i="1"/>
  <c r="AR21" i="1"/>
  <c r="AM21" i="1"/>
  <c r="CX15" i="1"/>
  <c r="Y15" i="1"/>
  <c r="K2" i="1"/>
  <c r="K4" i="1" s="1"/>
  <c r="AA48" i="1"/>
  <c r="Z48" i="1"/>
  <c r="AI3" i="1"/>
  <c r="DF4" i="1" s="1"/>
  <c r="Y33" i="1"/>
  <c r="CX33" i="1"/>
  <c r="AY37" i="1"/>
  <c r="AZ37" i="1" s="1"/>
  <c r="AW37" i="1"/>
  <c r="AK37" i="1"/>
  <c r="AA10" i="1"/>
  <c r="Z10" i="1"/>
  <c r="AA51" i="1"/>
  <c r="Z51" i="1"/>
  <c r="AA50" i="1"/>
  <c r="Z50" i="1"/>
  <c r="M14" i="3"/>
  <c r="AJ25" i="1"/>
  <c r="AN32" i="1"/>
  <c r="C5" i="4"/>
  <c r="N10" i="3"/>
  <c r="O10" i="3" s="1"/>
  <c r="Z17" i="1"/>
  <c r="AA17" i="1"/>
  <c r="N148" i="5"/>
  <c r="N18" i="3"/>
  <c r="O18" i="3" s="1"/>
  <c r="AQ183" i="1"/>
  <c r="AP183" i="1" s="1"/>
  <c r="AO183" i="1"/>
  <c r="AQ186" i="1"/>
  <c r="AP186" i="1" s="1"/>
  <c r="AO186" i="1"/>
  <c r="AJ144" i="1"/>
  <c r="AN144" i="1"/>
  <c r="AJ146" i="1"/>
  <c r="AV170" i="1"/>
  <c r="AX170" i="1" s="1"/>
  <c r="AT170" i="1"/>
  <c r="BN170" i="1"/>
  <c r="Z136" i="1"/>
  <c r="AA136" i="1"/>
  <c r="AQ150" i="1"/>
  <c r="AO150" i="1"/>
  <c r="AO73" i="1"/>
  <c r="AQ73" i="1"/>
  <c r="AM77" i="1"/>
  <c r="AV53" i="1"/>
  <c r="AX53" i="1" s="1"/>
  <c r="BN53" i="1"/>
  <c r="AT53" i="1"/>
  <c r="Z73" i="1"/>
  <c r="AA73" i="1"/>
  <c r="AM29" i="1"/>
  <c r="O10" i="4"/>
  <c r="Q10" i="4" s="1"/>
  <c r="R10" i="4" s="1"/>
  <c r="AQ28" i="1"/>
  <c r="AW28" i="1" s="1"/>
  <c r="AO28" i="1"/>
  <c r="AO26" i="1"/>
  <c r="AQ26" i="1"/>
  <c r="AP26" i="1" s="1"/>
  <c r="C10" i="4"/>
  <c r="CX20" i="1"/>
  <c r="Y20" i="1"/>
  <c r="AK33" i="1"/>
  <c r="AY33" i="1"/>
  <c r="AZ33" i="1" s="1"/>
  <c r="AW33" i="1"/>
  <c r="AM36" i="1"/>
  <c r="AR36" i="1"/>
  <c r="AR27" i="1"/>
  <c r="AM27" i="1"/>
  <c r="AM9" i="1"/>
  <c r="N11" i="3"/>
  <c r="O11" i="3" s="1"/>
  <c r="Y5" i="4"/>
  <c r="G4" i="4"/>
  <c r="AA29" i="1"/>
  <c r="Z29" i="1"/>
  <c r="AA36" i="1"/>
  <c r="Z36" i="1"/>
  <c r="Y6" i="4"/>
  <c r="AM11" i="1"/>
  <c r="Y194" i="1"/>
  <c r="CX194" i="1"/>
  <c r="AM157" i="1"/>
  <c r="AQ111" i="1"/>
  <c r="AP111" i="1" s="1"/>
  <c r="AO111" i="1"/>
  <c r="AQ63" i="1"/>
  <c r="AO63" i="1"/>
  <c r="AT97" i="1"/>
  <c r="AV97" i="1"/>
  <c r="AX97" i="1" s="1"/>
  <c r="CX87" i="1"/>
  <c r="Y87" i="1"/>
  <c r="AK79" i="1"/>
  <c r="AY79" i="1"/>
  <c r="AZ79" i="1" s="1"/>
  <c r="AJ71" i="1"/>
  <c r="AQ48" i="1"/>
  <c r="AP48" i="1" s="1"/>
  <c r="AO48" i="1"/>
  <c r="D9" i="3"/>
  <c r="E9" i="3" s="1"/>
  <c r="F9" i="3" s="1"/>
  <c r="M16" i="3"/>
  <c r="N16" i="3" s="1"/>
  <c r="O16" i="3" s="1"/>
  <c r="AJ42" i="1"/>
  <c r="Z75" i="1"/>
  <c r="AA75" i="1"/>
  <c r="AJ62" i="1"/>
  <c r="AQ58" i="1"/>
  <c r="AP58" i="1" s="1"/>
  <c r="AO58" i="1"/>
  <c r="AO44" i="1"/>
  <c r="AQ44" i="1"/>
  <c r="N192" i="5"/>
  <c r="N208" i="5"/>
  <c r="N2" i="5"/>
  <c r="AJ220" i="1"/>
  <c r="AN220" i="1"/>
  <c r="AQ225" i="1"/>
  <c r="AO225" i="1"/>
  <c r="AM224" i="1"/>
  <c r="CX214" i="1"/>
  <c r="Y214" i="1"/>
  <c r="AJ217" i="1"/>
  <c r="AJ207" i="1"/>
  <c r="AN207" i="1"/>
  <c r="AJ196" i="1"/>
  <c r="AS196" i="1"/>
  <c r="AA218" i="1"/>
  <c r="Z218" i="1"/>
  <c r="Y186" i="1"/>
  <c r="CX186" i="1"/>
  <c r="AQ194" i="1"/>
  <c r="AP194" i="1" s="1"/>
  <c r="AO194" i="1"/>
  <c r="AY190" i="1"/>
  <c r="AZ190" i="1" s="1"/>
  <c r="AW190" i="1"/>
  <c r="AK190" i="1"/>
  <c r="AQ180" i="1"/>
  <c r="AO180" i="1"/>
  <c r="CX211" i="1"/>
  <c r="Y211" i="1"/>
  <c r="AA203" i="1"/>
  <c r="Z203" i="1"/>
  <c r="AA200" i="1"/>
  <c r="Z200" i="1"/>
  <c r="AS193" i="1"/>
  <c r="AJ193" i="1"/>
  <c r="AA180" i="1"/>
  <c r="Z180" i="1"/>
  <c r="AP181" i="1"/>
  <c r="AR181" i="1" s="1"/>
  <c r="AS181" i="1"/>
  <c r="Y175" i="1"/>
  <c r="CX175" i="1"/>
  <c r="AV171" i="1"/>
  <c r="AX171" i="1" s="1"/>
  <c r="AT171" i="1"/>
  <c r="BN171" i="1"/>
  <c r="AJ161" i="1"/>
  <c r="AN161" i="1"/>
  <c r="AW189" i="1"/>
  <c r="AW181" i="1"/>
  <c r="AQ165" i="1"/>
  <c r="AO165" i="1"/>
  <c r="CX179" i="1"/>
  <c r="Y179" i="1"/>
  <c r="AJ166" i="1"/>
  <c r="AP156" i="1"/>
  <c r="AS156" i="1"/>
  <c r="AQ151" i="1"/>
  <c r="AW151" i="1" s="1"/>
  <c r="AO151" i="1"/>
  <c r="AA170" i="1"/>
  <c r="Z170" i="1"/>
  <c r="AN162" i="1"/>
  <c r="CX146" i="1"/>
  <c r="Y146" i="1"/>
  <c r="AJ155" i="1"/>
  <c r="AO148" i="1"/>
  <c r="AQ148" i="1"/>
  <c r="AN163" i="1"/>
  <c r="AA149" i="1"/>
  <c r="Z149" i="1"/>
  <c r="AA157" i="1"/>
  <c r="Z157" i="1"/>
  <c r="AJ119" i="1"/>
  <c r="AN119" i="1"/>
  <c r="AS143" i="1"/>
  <c r="AJ143" i="1"/>
  <c r="AN112" i="1"/>
  <c r="AJ112" i="1"/>
  <c r="AP131" i="1"/>
  <c r="AS131" i="1"/>
  <c r="AJ117" i="1"/>
  <c r="AO123" i="1"/>
  <c r="AQ123" i="1"/>
  <c r="AJ134" i="1"/>
  <c r="AJ93" i="1"/>
  <c r="AN93" i="1"/>
  <c r="Z102" i="1"/>
  <c r="AA102" i="1"/>
  <c r="AQ109" i="1"/>
  <c r="AO109" i="1"/>
  <c r="AN104" i="1"/>
  <c r="Y111" i="1"/>
  <c r="CX111" i="1"/>
  <c r="AM130" i="1"/>
  <c r="AA119" i="1"/>
  <c r="Z119" i="1"/>
  <c r="AS111" i="1"/>
  <c r="AJ111" i="1"/>
  <c r="AJ90" i="1"/>
  <c r="AJ74" i="1"/>
  <c r="AS74" i="1"/>
  <c r="AQ83" i="1"/>
  <c r="AO83" i="1"/>
  <c r="Z107" i="1"/>
  <c r="AA107" i="1"/>
  <c r="Y93" i="1"/>
  <c r="CX93" i="1"/>
  <c r="Y79" i="1"/>
  <c r="CX79" i="1"/>
  <c r="AK76" i="1"/>
  <c r="AY76" i="1"/>
  <c r="AZ76" i="1" s="1"/>
  <c r="AW76" i="1"/>
  <c r="AR78" i="1"/>
  <c r="AO84" i="1"/>
  <c r="AQ84" i="1"/>
  <c r="AS94" i="1"/>
  <c r="AP94" i="1"/>
  <c r="AR94" i="1" s="1"/>
  <c r="AQ87" i="1"/>
  <c r="AP87" i="1" s="1"/>
  <c r="AO87" i="1"/>
  <c r="P12" i="4"/>
  <c r="Y47" i="1"/>
  <c r="CX47" i="1"/>
  <c r="C7" i="4"/>
  <c r="CX42" i="1"/>
  <c r="Y42" i="1"/>
  <c r="AN62" i="1"/>
  <c r="AV61" i="1"/>
  <c r="AX61" i="1" s="1"/>
  <c r="AT61" i="1"/>
  <c r="AJ46" i="1"/>
  <c r="AJ54" i="1"/>
  <c r="AO43" i="1"/>
  <c r="AQ43" i="1"/>
  <c r="AP43" i="1" s="1"/>
  <c r="AA90" i="1"/>
  <c r="Z90" i="1"/>
  <c r="AQ47" i="1"/>
  <c r="AP47" i="1" s="1"/>
  <c r="AO47" i="1"/>
  <c r="Z81" i="1"/>
  <c r="AA81" i="1"/>
  <c r="AA64" i="1"/>
  <c r="Z64" i="1"/>
  <c r="AA72" i="1"/>
  <c r="Z72" i="1"/>
  <c r="AJ34" i="1"/>
  <c r="AK18" i="1"/>
  <c r="AY18" i="1"/>
  <c r="AZ18" i="1" s="1"/>
  <c r="AQ14" i="1"/>
  <c r="AO14" i="1"/>
  <c r="AJ26" i="1"/>
  <c r="AS26" i="1"/>
  <c r="AK22" i="1"/>
  <c r="AY22" i="1"/>
  <c r="AZ22" i="1" s="1"/>
  <c r="AW22" i="1"/>
  <c r="L20" i="3"/>
  <c r="N7" i="3"/>
  <c r="AQ11" i="1"/>
  <c r="AO11" i="1"/>
  <c r="AK30" i="1"/>
  <c r="AY30" i="1"/>
  <c r="AZ30" i="1" s="1"/>
  <c r="AW30" i="1"/>
  <c r="C9" i="4"/>
  <c r="Y25" i="1"/>
  <c r="CX25" i="1"/>
  <c r="AO15" i="1"/>
  <c r="AQ15" i="1"/>
  <c r="AP15" i="1" s="1"/>
  <c r="Y12" i="4"/>
  <c r="AN25" i="1"/>
  <c r="AS15" i="1"/>
  <c r="AJ15" i="1"/>
  <c r="BW2" i="1"/>
  <c r="Z16" i="1"/>
  <c r="AA16" i="1"/>
  <c r="AV210" i="1"/>
  <c r="AX210" i="1" s="1"/>
  <c r="AT210" i="1"/>
  <c r="AA174" i="1"/>
  <c r="Z174" i="1"/>
  <c r="Y208" i="1"/>
  <c r="CX208" i="1"/>
  <c r="AY187" i="1"/>
  <c r="AZ187" i="1" s="1"/>
  <c r="AK187" i="1"/>
  <c r="AQ142" i="1"/>
  <c r="AO142" i="1"/>
  <c r="AA130" i="1"/>
  <c r="Z130" i="1"/>
  <c r="AQ106" i="1"/>
  <c r="AP106" i="1" s="1"/>
  <c r="AO106" i="1"/>
  <c r="Y137" i="1"/>
  <c r="CX137" i="1"/>
  <c r="AQ127" i="1"/>
  <c r="AP127" i="1" s="1"/>
  <c r="AO127" i="1"/>
  <c r="AS106" i="1"/>
  <c r="AJ106" i="1"/>
  <c r="AM122" i="1"/>
  <c r="Y128" i="1"/>
  <c r="CX128" i="1"/>
  <c r="AJ113" i="1"/>
  <c r="AN113" i="1"/>
  <c r="AJ85" i="1"/>
  <c r="AN85" i="1"/>
  <c r="AP124" i="1"/>
  <c r="AS124" i="1"/>
  <c r="AM118" i="1"/>
  <c r="AA106" i="1"/>
  <c r="Z106" i="1"/>
  <c r="CX95" i="1"/>
  <c r="Y95" i="1"/>
  <c r="AQ92" i="1"/>
  <c r="AO92" i="1"/>
  <c r="AQ79" i="1"/>
  <c r="AO79" i="1"/>
  <c r="AK103" i="1"/>
  <c r="AY103" i="1"/>
  <c r="AZ103" i="1" s="1"/>
  <c r="AK84" i="1"/>
  <c r="AW84" i="1"/>
  <c r="AY84" i="1"/>
  <c r="AZ84" i="1" s="1"/>
  <c r="AJ72" i="1"/>
  <c r="Y14" i="4"/>
  <c r="AA92" i="1"/>
  <c r="Z92" i="1"/>
  <c r="AP86" i="1"/>
  <c r="AS86" i="1"/>
  <c r="O12" i="4"/>
  <c r="AN71" i="1"/>
  <c r="AN46" i="1"/>
  <c r="AJ41" i="1"/>
  <c r="AN41" i="1"/>
  <c r="AA74" i="1"/>
  <c r="Z74" i="1"/>
  <c r="AS60" i="1"/>
  <c r="AA77" i="1"/>
  <c r="Z77" i="1"/>
  <c r="AQ45" i="1"/>
  <c r="AO45" i="1"/>
  <c r="AW53" i="1"/>
  <c r="AY66" i="1"/>
  <c r="AZ66" i="1" s="1"/>
  <c r="AW66" i="1"/>
  <c r="AK66" i="1"/>
  <c r="CX55" i="1"/>
  <c r="Y55" i="1"/>
  <c r="T9" i="4"/>
  <c r="V9" i="4" s="1"/>
  <c r="W9" i="4" s="1"/>
  <c r="AQ22" i="1"/>
  <c r="AO22" i="1"/>
  <c r="Z49" i="1"/>
  <c r="AA49" i="1"/>
  <c r="O9" i="4"/>
  <c r="BW25" i="1"/>
  <c r="P9" i="4" s="1"/>
  <c r="AQ18" i="1"/>
  <c r="AO18" i="1"/>
  <c r="AY13" i="1"/>
  <c r="AZ13" i="1" s="1"/>
  <c r="AK13" i="1"/>
  <c r="Z54" i="1"/>
  <c r="AA54" i="1"/>
  <c r="Y26" i="1"/>
  <c r="CX26" i="1"/>
  <c r="Y8" i="4"/>
  <c r="AA60" i="1"/>
  <c r="Z60" i="1"/>
  <c r="AA46" i="1"/>
  <c r="Z46" i="1"/>
  <c r="AS16" i="1"/>
  <c r="AJ16" i="1"/>
  <c r="AQ33" i="1"/>
  <c r="AO33" i="1"/>
  <c r="Y14" i="1"/>
  <c r="CX14" i="1"/>
  <c r="AQ38" i="1"/>
  <c r="AO38" i="1"/>
  <c r="N17" i="3"/>
  <c r="O17" i="3" s="1"/>
  <c r="AA27" i="1"/>
  <c r="Z27" i="1"/>
  <c r="AA9" i="1"/>
  <c r="Z9" i="1"/>
  <c r="P5" i="4"/>
  <c r="AU24" i="1"/>
  <c r="BM24" i="1"/>
  <c r="AY198" i="1"/>
  <c r="AZ198" i="1" s="1"/>
  <c r="AW198" i="1"/>
  <c r="AK198" i="1"/>
  <c r="AQ195" i="1"/>
  <c r="AW195" i="1" s="1"/>
  <c r="AO195" i="1"/>
  <c r="AQ191" i="1"/>
  <c r="AP191" i="1" s="1"/>
  <c r="AO191" i="1"/>
  <c r="AO175" i="1"/>
  <c r="AQ175" i="1"/>
  <c r="AP175" i="1" s="1"/>
  <c r="AO166" i="1"/>
  <c r="AQ166" i="1"/>
  <c r="AP166" i="1" s="1"/>
  <c r="AA164" i="1"/>
  <c r="Z164" i="1"/>
  <c r="AJ98" i="1"/>
  <c r="AS98" i="1"/>
  <c r="AR110" i="1"/>
  <c r="AO76" i="1"/>
  <c r="AQ76" i="1"/>
  <c r="AA210" i="1"/>
  <c r="Z210" i="1"/>
  <c r="AA172" i="1"/>
  <c r="Z172" i="1"/>
  <c r="AJ147" i="1"/>
  <c r="AA223" i="1"/>
  <c r="B17" i="4" s="1"/>
  <c r="D17" i="4" s="1"/>
  <c r="E17" i="4" s="1"/>
  <c r="Z223" i="1"/>
  <c r="AN217" i="1"/>
  <c r="AS206" i="1"/>
  <c r="AJ206" i="1"/>
  <c r="BN211" i="1"/>
  <c r="AT211" i="1"/>
  <c r="AV211" i="1"/>
  <c r="AX211" i="1" s="1"/>
  <c r="AP224" i="1"/>
  <c r="AR224" i="1" s="1"/>
  <c r="AW224" i="1"/>
  <c r="Z207" i="1"/>
  <c r="AA207" i="1"/>
  <c r="Z192" i="1"/>
  <c r="AA192" i="1"/>
  <c r="AJ194" i="1"/>
  <c r="AS194" i="1"/>
  <c r="AN174" i="1"/>
  <c r="AJ174" i="1"/>
  <c r="AS189" i="1"/>
  <c r="AJ208" i="1"/>
  <c r="AS203" i="1"/>
  <c r="AJ203" i="1"/>
  <c r="CX191" i="1"/>
  <c r="Y191" i="1"/>
  <c r="AJ169" i="1"/>
  <c r="AS169" i="1"/>
  <c r="AO184" i="1"/>
  <c r="AQ184" i="1"/>
  <c r="Z173" i="1"/>
  <c r="AA173" i="1"/>
  <c r="AA184" i="1"/>
  <c r="Z184" i="1"/>
  <c r="AQ157" i="1"/>
  <c r="AO157" i="1"/>
  <c r="AK173" i="1"/>
  <c r="AY173" i="1"/>
  <c r="AZ173" i="1" s="1"/>
  <c r="AW173" i="1"/>
  <c r="Z189" i="1"/>
  <c r="AA189" i="1"/>
  <c r="AS154" i="1"/>
  <c r="AJ154" i="1"/>
  <c r="AM168" i="1"/>
  <c r="AV164" i="1"/>
  <c r="AX164" i="1" s="1"/>
  <c r="BN164" i="1"/>
  <c r="AT164" i="1"/>
  <c r="AA158" i="1"/>
  <c r="Z158" i="1"/>
  <c r="AJ141" i="1"/>
  <c r="AN141" i="1"/>
  <c r="AN155" i="1"/>
  <c r="Z161" i="1"/>
  <c r="AA161" i="1"/>
  <c r="AA144" i="1"/>
  <c r="Z144" i="1"/>
  <c r="AJ128" i="1"/>
  <c r="AV118" i="1"/>
  <c r="AX118" i="1" s="1"/>
  <c r="AT118" i="1"/>
  <c r="AW142" i="1"/>
  <c r="AY142" i="1"/>
  <c r="AZ142" i="1" s="1"/>
  <c r="AK142" i="1"/>
  <c r="AQ137" i="1"/>
  <c r="AO137" i="1"/>
  <c r="AA143" i="1"/>
  <c r="Z143" i="1"/>
  <c r="AY124" i="1"/>
  <c r="AZ124" i="1" s="1"/>
  <c r="AW124" i="1"/>
  <c r="AK124" i="1"/>
  <c r="AQ116" i="1"/>
  <c r="AP116" i="1" s="1"/>
  <c r="AO116" i="1"/>
  <c r="AR140" i="1"/>
  <c r="AQ132" i="1"/>
  <c r="AO132" i="1"/>
  <c r="AN134" i="1"/>
  <c r="AA123" i="1"/>
  <c r="Z123" i="1"/>
  <c r="AQ103" i="1"/>
  <c r="AO103" i="1"/>
  <c r="AP110" i="1"/>
  <c r="AS110" i="1"/>
  <c r="N9" i="3"/>
  <c r="O9" i="3" s="1"/>
  <c r="AA115" i="1"/>
  <c r="Z115" i="1"/>
  <c r="AN128" i="1"/>
  <c r="AM109" i="1"/>
  <c r="CX68" i="1"/>
  <c r="Y68" i="1"/>
  <c r="AS95" i="1"/>
  <c r="AJ95" i="1"/>
  <c r="AK92" i="1"/>
  <c r="AY92" i="1"/>
  <c r="AZ92" i="1" s="1"/>
  <c r="AW92" i="1"/>
  <c r="P13" i="4"/>
  <c r="AK63" i="1"/>
  <c r="AW63" i="1"/>
  <c r="AY63" i="1"/>
  <c r="AZ63" i="1" s="1"/>
  <c r="AJ75" i="1"/>
  <c r="AS75" i="1"/>
  <c r="C13" i="4"/>
  <c r="Y78" i="1"/>
  <c r="CX78" i="1"/>
  <c r="AJ69" i="1"/>
  <c r="AN69" i="1"/>
  <c r="AA83" i="1"/>
  <c r="Z83" i="1"/>
  <c r="AM78" i="1"/>
  <c r="AJ56" i="1"/>
  <c r="AN56" i="1"/>
  <c r="AN54" i="1"/>
  <c r="AY65" i="1"/>
  <c r="AZ65" i="1" s="1"/>
  <c r="AK65" i="1"/>
  <c r="M11" i="3"/>
  <c r="AJ59" i="1"/>
  <c r="AS67" i="1"/>
  <c r="Z89" i="1"/>
  <c r="AA89" i="1"/>
  <c r="AJ57" i="1"/>
  <c r="AN57" i="1"/>
  <c r="CX70" i="1"/>
  <c r="Y70" i="1"/>
  <c r="AR53" i="1"/>
  <c r="AM53" i="1"/>
  <c r="AR61" i="1"/>
  <c r="AM61" i="1"/>
  <c r="AS47" i="1"/>
  <c r="AJ47" i="1"/>
  <c r="AM44" i="1"/>
  <c r="AN34" i="1"/>
  <c r="AA37" i="1"/>
  <c r="Z37" i="1"/>
  <c r="T8" i="4"/>
  <c r="V8" i="4" s="1"/>
  <c r="W8" i="4" s="1"/>
  <c r="AM20" i="1"/>
  <c r="O8" i="4"/>
  <c r="Q8" i="4" s="1"/>
  <c r="R8" i="4" s="1"/>
  <c r="BW11" i="1"/>
  <c r="P8" i="4" s="1"/>
  <c r="AQ40" i="1"/>
  <c r="AO40" i="1"/>
  <c r="AA44" i="1"/>
  <c r="Z44" i="1"/>
  <c r="AQ13" i="1"/>
  <c r="AO13" i="1"/>
  <c r="AM52" i="1"/>
  <c r="AK38" i="1"/>
  <c r="AY38" i="1"/>
  <c r="AZ38" i="1" s="1"/>
  <c r="AW38" i="1"/>
  <c r="AP20" i="1"/>
  <c r="AR20" i="1" s="1"/>
  <c r="AB3" i="1"/>
  <c r="O5" i="4"/>
  <c r="Z28" i="1"/>
  <c r="AA28" i="1"/>
  <c r="AT24" i="1"/>
  <c r="AV24" i="1"/>
  <c r="AX24" i="1" s="1"/>
  <c r="N5" i="5"/>
  <c r="AJ222" i="1"/>
  <c r="AT224" i="1"/>
  <c r="BN224" i="1"/>
  <c r="AV224" i="1"/>
  <c r="AX224" i="1" s="1"/>
  <c r="CX205" i="1"/>
  <c r="Y205" i="1"/>
  <c r="AP198" i="1"/>
  <c r="AS198" i="1"/>
  <c r="AY204" i="1"/>
  <c r="AZ204" i="1" s="1"/>
  <c r="AK204" i="1"/>
  <c r="AW204" i="1"/>
  <c r="BN210" i="1"/>
  <c r="AQ208" i="1"/>
  <c r="AP208" i="1" s="1"/>
  <c r="AO208" i="1"/>
  <c r="AO185" i="1"/>
  <c r="AQ185" i="1"/>
  <c r="AQ176" i="1"/>
  <c r="AW176" i="1" s="1"/>
  <c r="AO176" i="1"/>
  <c r="AV190" i="1"/>
  <c r="AX190" i="1" s="1"/>
  <c r="AT190" i="1"/>
  <c r="BN190" i="1"/>
  <c r="AS183" i="1"/>
  <c r="AJ183" i="1"/>
  <c r="AT204" i="1"/>
  <c r="AV204" i="1"/>
  <c r="AX204" i="1" s="1"/>
  <c r="CX178" i="1"/>
  <c r="Y178" i="1"/>
  <c r="AA166" i="1"/>
  <c r="Z166" i="1"/>
  <c r="AK151" i="1"/>
  <c r="AY151" i="1"/>
  <c r="AZ151" i="1" s="1"/>
  <c r="N216" i="5"/>
  <c r="N154" i="5"/>
  <c r="N212" i="5"/>
  <c r="N176" i="5"/>
  <c r="N172" i="5"/>
  <c r="Q17" i="4"/>
  <c r="R17" i="4" s="1"/>
  <c r="AN222" i="1"/>
  <c r="N202" i="5"/>
  <c r="N214" i="5"/>
  <c r="N151" i="5"/>
  <c r="N164" i="5"/>
  <c r="N110" i="5"/>
  <c r="N168" i="5"/>
  <c r="AQ218" i="1"/>
  <c r="AO218" i="1"/>
  <c r="CX209" i="1"/>
  <c r="Y209" i="1"/>
  <c r="AQ201" i="1"/>
  <c r="AP201" i="1" s="1"/>
  <c r="AO201" i="1"/>
  <c r="AT199" i="1"/>
  <c r="BN199" i="1"/>
  <c r="AV199" i="1"/>
  <c r="AX199" i="1" s="1"/>
  <c r="Z202" i="1"/>
  <c r="AA202" i="1"/>
  <c r="AS188" i="1"/>
  <c r="AJ188" i="1"/>
  <c r="AQ168" i="1"/>
  <c r="AO168" i="1"/>
  <c r="Y188" i="1"/>
  <c r="CX188" i="1"/>
  <c r="AS201" i="1"/>
  <c r="AJ201" i="1"/>
  <c r="AM197" i="1"/>
  <c r="Y201" i="1"/>
  <c r="CX201" i="1"/>
  <c r="CX176" i="1"/>
  <c r="Y176" i="1"/>
  <c r="CX169" i="1"/>
  <c r="Y169" i="1"/>
  <c r="AY184" i="1"/>
  <c r="AZ184" i="1" s="1"/>
  <c r="AK184" i="1"/>
  <c r="AQ172" i="1"/>
  <c r="AP172" i="1" s="1"/>
  <c r="AO172" i="1"/>
  <c r="AJ153" i="1"/>
  <c r="AN153" i="1"/>
  <c r="BM171" i="1"/>
  <c r="AU171" i="1"/>
  <c r="AQ149" i="1"/>
  <c r="AO149" i="1"/>
  <c r="AT173" i="1"/>
  <c r="BN173" i="1"/>
  <c r="AV173" i="1"/>
  <c r="AX173" i="1" s="1"/>
  <c r="AQ159" i="1"/>
  <c r="AO159" i="1"/>
  <c r="AN135" i="1"/>
  <c r="AJ135" i="1"/>
  <c r="AR145" i="1"/>
  <c r="AA156" i="1"/>
  <c r="Z156" i="1"/>
  <c r="AN147" i="1"/>
  <c r="Z153" i="1"/>
  <c r="AA153" i="1"/>
  <c r="AR156" i="1"/>
  <c r="AN117" i="1"/>
  <c r="AW139" i="1"/>
  <c r="Z140" i="1"/>
  <c r="AA140" i="1"/>
  <c r="AO122" i="1"/>
  <c r="AQ122" i="1"/>
  <c r="AT140" i="1"/>
  <c r="BN140" i="1"/>
  <c r="AV140" i="1"/>
  <c r="AX140" i="1" s="1"/>
  <c r="Z132" i="1"/>
  <c r="AA132" i="1"/>
  <c r="AQ100" i="1"/>
  <c r="AO100" i="1"/>
  <c r="AQ125" i="1"/>
  <c r="AP125" i="1" s="1"/>
  <c r="AO125" i="1"/>
  <c r="Z145" i="1"/>
  <c r="AA145" i="1"/>
  <c r="AR131" i="1"/>
  <c r="AM131" i="1"/>
  <c r="AV145" i="1"/>
  <c r="AX145" i="1" s="1"/>
  <c r="AT145" i="1"/>
  <c r="BN145" i="1"/>
  <c r="Z124" i="1"/>
  <c r="AA124" i="1"/>
  <c r="AA117" i="1"/>
  <c r="Z117" i="1"/>
  <c r="N8" i="3"/>
  <c r="O8" i="3" s="1"/>
  <c r="AN90" i="1"/>
  <c r="E10" i="3"/>
  <c r="F10" i="3" s="1"/>
  <c r="AA108" i="1"/>
  <c r="Z108" i="1"/>
  <c r="AR86" i="1"/>
  <c r="Y80" i="1"/>
  <c r="CX80" i="1"/>
  <c r="Y67" i="1"/>
  <c r="CX67" i="1"/>
  <c r="AQ95" i="1"/>
  <c r="AP95" i="1" s="1"/>
  <c r="AO95" i="1"/>
  <c r="O13" i="4"/>
  <c r="Q13" i="4" s="1"/>
  <c r="R13" i="4" s="1"/>
  <c r="AM96" i="1"/>
  <c r="AR89" i="1"/>
  <c r="AM102" i="1"/>
  <c r="M13" i="3"/>
  <c r="N13" i="3" s="1"/>
  <c r="O13" i="3" s="1"/>
  <c r="AN72" i="1"/>
  <c r="Z94" i="1"/>
  <c r="AA94" i="1"/>
  <c r="AR81" i="1"/>
  <c r="BN102" i="1"/>
  <c r="AT102" i="1"/>
  <c r="AV102" i="1"/>
  <c r="AX102" i="1" s="1"/>
  <c r="AM89" i="1"/>
  <c r="AQ50" i="1"/>
  <c r="AO50" i="1"/>
  <c r="CX45" i="1"/>
  <c r="Y45" i="1"/>
  <c r="AN42" i="1"/>
  <c r="AY67" i="1"/>
  <c r="AZ67" i="1" s="1"/>
  <c r="AK67" i="1"/>
  <c r="AW67" i="1"/>
  <c r="AM50" i="1"/>
  <c r="AQ29" i="1"/>
  <c r="AO29" i="1"/>
  <c r="AO52" i="1"/>
  <c r="AQ52" i="1"/>
  <c r="AA69" i="1"/>
  <c r="Z69" i="1"/>
  <c r="AM60" i="1"/>
  <c r="AR60" i="1"/>
  <c r="AO23" i="1"/>
  <c r="AQ23" i="1"/>
  <c r="AP23" i="1" s="1"/>
  <c r="AA53" i="1"/>
  <c r="Z53" i="1"/>
  <c r="AV19" i="1"/>
  <c r="AX19" i="1" s="1"/>
  <c r="BN19" i="1"/>
  <c r="AT19" i="1"/>
  <c r="Z52" i="1"/>
  <c r="AA52" i="1"/>
  <c r="AK40" i="1"/>
  <c r="AY40" i="1"/>
  <c r="AZ40" i="1" s="1"/>
  <c r="M17" i="3"/>
  <c r="AQ12" i="1"/>
  <c r="AO12" i="1"/>
  <c r="D14" i="3"/>
  <c r="E14" i="3" s="1"/>
  <c r="F14" i="3" s="1"/>
  <c r="AN17" i="1"/>
  <c r="AJ17" i="1"/>
  <c r="AK39" i="1"/>
  <c r="AY39" i="1"/>
  <c r="AZ39" i="1" s="1"/>
  <c r="AW39" i="1"/>
  <c r="C17" i="3"/>
  <c r="DF5" i="1"/>
  <c r="AI4" i="1"/>
  <c r="DF3" i="1" s="1"/>
  <c r="AA13" i="1"/>
  <c r="Z13" i="1"/>
  <c r="N14" i="3"/>
  <c r="O14" i="3" s="1"/>
  <c r="AV10" i="1"/>
  <c r="AX10" i="1" s="1"/>
  <c r="BN10" i="1"/>
  <c r="AT10" i="1"/>
  <c r="AK200" i="1"/>
  <c r="AY200" i="1"/>
  <c r="AZ200" i="1" s="1"/>
  <c r="AW200" i="1"/>
  <c r="Y217" i="1"/>
  <c r="CX217" i="1"/>
  <c r="AY225" i="1"/>
  <c r="AZ225" i="1" s="1"/>
  <c r="AW225" i="1"/>
  <c r="AK225" i="1"/>
  <c r="AJ213" i="1"/>
  <c r="AS213" i="1"/>
  <c r="AA190" i="1"/>
  <c r="Z190" i="1"/>
  <c r="AJ177" i="1"/>
  <c r="AS177" i="1"/>
  <c r="AY158" i="1"/>
  <c r="AZ158" i="1" s="1"/>
  <c r="AW158" i="1"/>
  <c r="AK158" i="1"/>
  <c r="Z142" i="1"/>
  <c r="AA142" i="1"/>
  <c r="AM108" i="1"/>
  <c r="Z135" i="1"/>
  <c r="AA135" i="1"/>
  <c r="AV89" i="1"/>
  <c r="AX89" i="1" s="1"/>
  <c r="BN89" i="1"/>
  <c r="AT89" i="1"/>
  <c r="N19" i="3"/>
  <c r="O19" i="3" s="1"/>
  <c r="AJ221" i="1"/>
  <c r="AS221" i="1"/>
  <c r="AO219" i="1"/>
  <c r="AQ219" i="1"/>
  <c r="AP219" i="1" s="1"/>
  <c r="AQ209" i="1"/>
  <c r="AO209" i="1"/>
  <c r="AW223" i="1"/>
  <c r="AY223" i="1"/>
  <c r="AZ223" i="1" s="1"/>
  <c r="AK223" i="1"/>
  <c r="AY199" i="1"/>
  <c r="AZ199" i="1" s="1"/>
  <c r="AW199" i="1"/>
  <c r="AK199" i="1"/>
  <c r="AK192" i="1"/>
  <c r="AY192" i="1"/>
  <c r="AZ192" i="1" s="1"/>
  <c r="AW192" i="1"/>
  <c r="AQ187" i="1"/>
  <c r="AW187" i="1" s="1"/>
  <c r="AO187" i="1"/>
  <c r="AQ203" i="1"/>
  <c r="AP203" i="1" s="1"/>
  <c r="AO203" i="1"/>
  <c r="AS178" i="1"/>
  <c r="AP178" i="1"/>
  <c r="AR178" i="1" s="1"/>
  <c r="AJ167" i="1"/>
  <c r="AN167" i="1"/>
  <c r="BM170" i="1"/>
  <c r="AU170" i="1"/>
  <c r="CX177" i="1"/>
  <c r="Y177" i="1"/>
  <c r="AA181" i="1"/>
  <c r="Z181" i="1"/>
  <c r="AK159" i="1"/>
  <c r="AY159" i="1"/>
  <c r="AZ159" i="1" s="1"/>
  <c r="Z167" i="1"/>
  <c r="AA167" i="1"/>
  <c r="AS136" i="1"/>
  <c r="AJ136" i="1"/>
  <c r="CX141" i="1"/>
  <c r="Y141" i="1"/>
  <c r="AN146" i="1"/>
  <c r="AQ152" i="1"/>
  <c r="AP152" i="1" s="1"/>
  <c r="AO152" i="1"/>
  <c r="AA165" i="1"/>
  <c r="Z165" i="1"/>
  <c r="AO130" i="1"/>
  <c r="AQ130" i="1"/>
  <c r="AW138" i="1"/>
  <c r="AK138" i="1"/>
  <c r="AY138" i="1"/>
  <c r="AZ138" i="1" s="1"/>
  <c r="AO121" i="1"/>
  <c r="AQ121" i="1"/>
  <c r="AP121" i="1" s="1"/>
  <c r="CX131" i="1"/>
  <c r="Y131" i="1"/>
  <c r="AY133" i="1"/>
  <c r="AZ133" i="1" s="1"/>
  <c r="AK133" i="1"/>
  <c r="AW133" i="1"/>
  <c r="AY100" i="1"/>
  <c r="AZ100" i="1" s="1"/>
  <c r="AK100" i="1"/>
  <c r="Y11" i="4"/>
  <c r="BN97" i="1"/>
  <c r="AQ82" i="1"/>
  <c r="AP82" i="1" s="1"/>
  <c r="AO82" i="1"/>
  <c r="AA122" i="1"/>
  <c r="Z122" i="1"/>
  <c r="AS107" i="1"/>
  <c r="AJ107" i="1"/>
  <c r="Y13" i="4"/>
  <c r="AM123" i="1"/>
  <c r="AA127" i="1"/>
  <c r="Z127" i="1"/>
  <c r="AP115" i="1"/>
  <c r="AR115" i="1" s="1"/>
  <c r="AS115" i="1"/>
  <c r="Z105" i="1"/>
  <c r="AA105" i="1"/>
  <c r="AU105" i="1"/>
  <c r="BM105" i="1"/>
  <c r="AO68" i="1"/>
  <c r="AQ68" i="1"/>
  <c r="CX99" i="1"/>
  <c r="Y99" i="1"/>
  <c r="AS88" i="1"/>
  <c r="AJ88" i="1"/>
  <c r="D11" i="3"/>
  <c r="E11" i="3" s="1"/>
  <c r="F11" i="3" s="1"/>
  <c r="AA109" i="1"/>
  <c r="Z109" i="1"/>
  <c r="C11" i="4"/>
  <c r="Y88" i="1"/>
  <c r="CX88" i="1"/>
  <c r="AS80" i="1"/>
  <c r="AJ80" i="1"/>
  <c r="CX71" i="1"/>
  <c r="Y71" i="1"/>
  <c r="CX96" i="1"/>
  <c r="Y96" i="1"/>
  <c r="C12" i="4"/>
  <c r="Y59" i="1"/>
  <c r="CX59" i="1"/>
  <c r="AJ31" i="1"/>
  <c r="AN31" i="1"/>
  <c r="CX43" i="1"/>
  <c r="Y43" i="1"/>
  <c r="D7" i="3"/>
  <c r="AQ65" i="1"/>
  <c r="AW65" i="1" s="1"/>
  <c r="AO65" i="1"/>
  <c r="AO59" i="1"/>
  <c r="AQ59" i="1"/>
  <c r="AS59" i="1" s="1"/>
  <c r="Z62" i="1"/>
  <c r="AA62" i="1"/>
  <c r="AQ49" i="1"/>
  <c r="AP49" i="1" s="1"/>
  <c r="AO49" i="1"/>
  <c r="AQ55" i="1"/>
  <c r="AW55" i="1" s="1"/>
  <c r="AO55" i="1"/>
  <c r="D12" i="3"/>
  <c r="E12" i="3" s="1"/>
  <c r="F12" i="3" s="1"/>
  <c r="AJ49" i="1"/>
  <c r="Y31" i="1"/>
  <c r="CX31" i="1"/>
  <c r="D15" i="3"/>
  <c r="E15" i="3" s="1"/>
  <c r="F15" i="3" s="1"/>
  <c r="AS23" i="1"/>
  <c r="AJ23" i="1"/>
  <c r="AY14" i="1"/>
  <c r="AZ14" i="1" s="1"/>
  <c r="AK14" i="1"/>
  <c r="AW14" i="1"/>
  <c r="D8" i="3"/>
  <c r="E8" i="3" s="1"/>
  <c r="F8" i="3" s="1"/>
  <c r="AA19" i="1"/>
  <c r="Z19" i="1"/>
  <c r="AA35" i="1"/>
  <c r="Z35" i="1"/>
  <c r="AA12" i="1"/>
  <c r="Z12" i="1"/>
  <c r="AS20" i="1"/>
  <c r="Y9" i="4"/>
  <c r="L22" i="7"/>
  <c r="I25" i="7"/>
  <c r="N4" i="7"/>
  <c r="G7" i="7"/>
  <c r="C6" i="6"/>
  <c r="E21" i="7"/>
  <c r="N8" i="6"/>
  <c r="C38" i="6"/>
  <c r="N8" i="7"/>
  <c r="B6" i="6"/>
  <c r="N6" i="8"/>
  <c r="L19" i="7"/>
  <c r="G5" i="7"/>
  <c r="E27" i="7"/>
  <c r="C23" i="6"/>
  <c r="L28" i="6"/>
  <c r="E13" i="7"/>
  <c r="N5" i="6"/>
  <c r="B5" i="7"/>
  <c r="E25" i="7"/>
  <c r="C35" i="6"/>
  <c r="D6" i="6"/>
  <c r="L17" i="7"/>
  <c r="C32" i="6"/>
  <c r="E31" i="7"/>
  <c r="C29" i="6"/>
  <c r="C25" i="6"/>
  <c r="N10" i="7"/>
  <c r="L20" i="7"/>
  <c r="N9" i="7"/>
  <c r="N7" i="8"/>
  <c r="L13" i="6"/>
  <c r="B9" i="7"/>
  <c r="C17" i="6"/>
  <c r="N4" i="6"/>
  <c r="C34" i="6"/>
  <c r="C33" i="6"/>
  <c r="L21" i="7"/>
  <c r="L15" i="6"/>
  <c r="B7" i="7"/>
  <c r="N5" i="7"/>
  <c r="L14" i="6"/>
  <c r="E39" i="7"/>
  <c r="C28" i="6"/>
  <c r="N6" i="6"/>
  <c r="E37" i="7"/>
  <c r="C11" i="6"/>
  <c r="L29" i="6"/>
  <c r="C14" i="6"/>
  <c r="I35" i="7"/>
  <c r="C26" i="6"/>
  <c r="E35" i="7"/>
  <c r="E29" i="7"/>
  <c r="C24" i="6"/>
  <c r="N6" i="7"/>
  <c r="N7" i="6"/>
  <c r="L39" i="6" l="1"/>
  <c r="L38" i="6"/>
  <c r="L37" i="6"/>
  <c r="N11" i="8"/>
  <c r="B6" i="8" s="1"/>
  <c r="N11" i="7"/>
  <c r="O42" i="7" s="1"/>
  <c r="L12" i="7"/>
  <c r="L16" i="7"/>
  <c r="L15" i="7"/>
  <c r="L11" i="7"/>
  <c r="L52" i="7"/>
  <c r="L14" i="7"/>
  <c r="L13" i="7"/>
  <c r="L18" i="7"/>
  <c r="L25" i="6"/>
  <c r="L24" i="6"/>
  <c r="L23" i="6"/>
  <c r="L22" i="6"/>
  <c r="L30" i="6"/>
  <c r="L27" i="6"/>
  <c r="L26" i="6"/>
  <c r="L34" i="6"/>
  <c r="L33" i="6"/>
  <c r="L32" i="6"/>
  <c r="L31" i="6"/>
  <c r="L44" i="6"/>
  <c r="L36" i="6"/>
  <c r="L35" i="6"/>
  <c r="L28" i="7"/>
  <c r="L23" i="7"/>
  <c r="L27" i="7"/>
  <c r="L32" i="7"/>
  <c r="L31" i="7"/>
  <c r="L26" i="7"/>
  <c r="L25" i="7"/>
  <c r="L24" i="7"/>
  <c r="L30" i="7"/>
  <c r="L29" i="7"/>
  <c r="L40" i="6"/>
  <c r="L20" i="6"/>
  <c r="L16" i="6"/>
  <c r="L21" i="6"/>
  <c r="L18" i="6"/>
  <c r="L17" i="6"/>
  <c r="L34" i="7"/>
  <c r="L38" i="7"/>
  <c r="L33" i="7"/>
  <c r="L54" i="7"/>
  <c r="L37" i="7"/>
  <c r="L36" i="7"/>
  <c r="L35" i="7"/>
  <c r="L40" i="7"/>
  <c r="L39" i="7"/>
  <c r="AU94" i="1"/>
  <c r="BM94" i="1"/>
  <c r="BM77" i="1"/>
  <c r="AU77" i="1"/>
  <c r="AU224" i="1"/>
  <c r="BM224" i="1"/>
  <c r="AV59" i="1"/>
  <c r="AX59" i="1" s="1"/>
  <c r="AT59" i="1"/>
  <c r="BN59" i="1"/>
  <c r="BM20" i="1"/>
  <c r="AU20" i="1"/>
  <c r="AU181" i="1"/>
  <c r="BM181" i="1"/>
  <c r="AA131" i="1"/>
  <c r="Z131" i="1"/>
  <c r="BM178" i="1"/>
  <c r="AU178" i="1"/>
  <c r="AR158" i="1"/>
  <c r="AM158" i="1"/>
  <c r="AT20" i="1"/>
  <c r="AV20" i="1"/>
  <c r="AX20" i="1" s="1"/>
  <c r="BN20" i="1"/>
  <c r="AM133" i="1"/>
  <c r="AA141" i="1"/>
  <c r="Z141" i="1"/>
  <c r="AM159" i="1"/>
  <c r="AQ17" i="1"/>
  <c r="AO17" i="1"/>
  <c r="AP29" i="1"/>
  <c r="AR29" i="1" s="1"/>
  <c r="AS29" i="1"/>
  <c r="AW29" i="1"/>
  <c r="AO147" i="1"/>
  <c r="AQ147" i="1"/>
  <c r="AP159" i="1"/>
  <c r="AR159" i="1" s="1"/>
  <c r="AS159" i="1"/>
  <c r="AQ153" i="1"/>
  <c r="AO153" i="1"/>
  <c r="AA169" i="1"/>
  <c r="Z169" i="1"/>
  <c r="AK201" i="1"/>
  <c r="AY201" i="1"/>
  <c r="AZ201" i="1" s="1"/>
  <c r="AW201" i="1"/>
  <c r="AP185" i="1"/>
  <c r="AR185" i="1" s="1"/>
  <c r="AW185" i="1"/>
  <c r="AS185" i="1"/>
  <c r="AV198" i="1"/>
  <c r="AX198" i="1" s="1"/>
  <c r="BN198" i="1"/>
  <c r="AT198" i="1"/>
  <c r="AW222" i="1"/>
  <c r="AK222" i="1"/>
  <c r="AY222" i="1"/>
  <c r="AZ222" i="1" s="1"/>
  <c r="AP13" i="1"/>
  <c r="AS13" i="1"/>
  <c r="AT47" i="1"/>
  <c r="AV47" i="1"/>
  <c r="AX47" i="1" s="1"/>
  <c r="BN47" i="1"/>
  <c r="AK57" i="1"/>
  <c r="AY57" i="1"/>
  <c r="AZ57" i="1" s="1"/>
  <c r="AM65" i="1"/>
  <c r="AQ128" i="1"/>
  <c r="AO128" i="1"/>
  <c r="AP103" i="1"/>
  <c r="AS103" i="1"/>
  <c r="AR142" i="1"/>
  <c r="AM142" i="1"/>
  <c r="AK203" i="1"/>
  <c r="AY203" i="1"/>
  <c r="AZ203" i="1" s="1"/>
  <c r="AW203" i="1"/>
  <c r="AT194" i="1"/>
  <c r="AV194" i="1"/>
  <c r="AX194" i="1" s="1"/>
  <c r="BN194" i="1"/>
  <c r="AP76" i="1"/>
  <c r="AS76" i="1"/>
  <c r="AS33" i="1"/>
  <c r="AP33" i="1"/>
  <c r="AR33" i="1" s="1"/>
  <c r="AP45" i="1"/>
  <c r="AR45" i="1" s="1"/>
  <c r="AW45" i="1"/>
  <c r="AS45" i="1"/>
  <c r="AY41" i="1"/>
  <c r="AZ41" i="1" s="1"/>
  <c r="AK41" i="1"/>
  <c r="AA95" i="1"/>
  <c r="Z95" i="1"/>
  <c r="AK85" i="1"/>
  <c r="AY85" i="1"/>
  <c r="AZ85" i="1" s="1"/>
  <c r="AW26" i="1"/>
  <c r="AY26" i="1"/>
  <c r="AZ26" i="1" s="1"/>
  <c r="AK26" i="1"/>
  <c r="AA47" i="1"/>
  <c r="B9" i="4" s="1"/>
  <c r="D9" i="4" s="1"/>
  <c r="E9" i="4" s="1"/>
  <c r="Z47" i="1"/>
  <c r="AA93" i="1"/>
  <c r="Z93" i="1"/>
  <c r="Z111" i="1"/>
  <c r="AA111" i="1"/>
  <c r="BN131" i="1"/>
  <c r="AT131" i="1"/>
  <c r="AV131" i="1"/>
  <c r="AX131" i="1" s="1"/>
  <c r="AY119" i="1"/>
  <c r="AZ119" i="1" s="1"/>
  <c r="AK119" i="1"/>
  <c r="AK193" i="1"/>
  <c r="AY193" i="1"/>
  <c r="AZ193" i="1" s="1"/>
  <c r="AW193" i="1"/>
  <c r="Z186" i="1"/>
  <c r="AA186" i="1"/>
  <c r="AK217" i="1"/>
  <c r="AY217" i="1"/>
  <c r="AZ217" i="1" s="1"/>
  <c r="AQ220" i="1"/>
  <c r="AO220" i="1"/>
  <c r="AM79" i="1"/>
  <c r="AK127" i="1"/>
  <c r="AY127" i="1"/>
  <c r="AZ127" i="1" s="1"/>
  <c r="AW127" i="1"/>
  <c r="AK163" i="1"/>
  <c r="AY163" i="1"/>
  <c r="AZ163" i="1" s="1"/>
  <c r="BM182" i="1"/>
  <c r="AU182" i="1"/>
  <c r="BM210" i="1"/>
  <c r="AU210" i="1"/>
  <c r="AM12" i="1"/>
  <c r="AK48" i="1"/>
  <c r="AW48" i="1"/>
  <c r="AY48" i="1"/>
  <c r="AZ48" i="1" s="1"/>
  <c r="AS87" i="1"/>
  <c r="AP91" i="1"/>
  <c r="AR91" i="1" s="1"/>
  <c r="AS91" i="1"/>
  <c r="AW91" i="1"/>
  <c r="Z120" i="1"/>
  <c r="AA120" i="1"/>
  <c r="AP129" i="1"/>
  <c r="AR129" i="1" s="1"/>
  <c r="AS129" i="1"/>
  <c r="AW129" i="1"/>
  <c r="AA215" i="1"/>
  <c r="Z215" i="1"/>
  <c r="AU60" i="1"/>
  <c r="BM60" i="1"/>
  <c r="AP50" i="1"/>
  <c r="AR50" i="1" s="1"/>
  <c r="AW50" i="1"/>
  <c r="AS50" i="1"/>
  <c r="AO72" i="1"/>
  <c r="AQ72" i="1"/>
  <c r="AQ90" i="1"/>
  <c r="AO90" i="1"/>
  <c r="AP100" i="1"/>
  <c r="AS100" i="1"/>
  <c r="AK153" i="1"/>
  <c r="AY153" i="1"/>
  <c r="AZ153" i="1" s="1"/>
  <c r="AW153" i="1"/>
  <c r="AT201" i="1"/>
  <c r="AV201" i="1"/>
  <c r="AX201" i="1" s="1"/>
  <c r="BN201" i="1"/>
  <c r="AO222" i="1"/>
  <c r="AQ222" i="1"/>
  <c r="AY183" i="1"/>
  <c r="AZ183" i="1" s="1"/>
  <c r="AW183" i="1"/>
  <c r="AK183" i="1"/>
  <c r="AV75" i="1"/>
  <c r="AX75" i="1" s="1"/>
  <c r="AT75" i="1"/>
  <c r="BN75" i="1"/>
  <c r="AM92" i="1"/>
  <c r="AM124" i="1"/>
  <c r="AR124" i="1"/>
  <c r="AV203" i="1"/>
  <c r="AX203" i="1" s="1"/>
  <c r="AT203" i="1"/>
  <c r="BN203" i="1"/>
  <c r="AW194" i="1"/>
  <c r="AK194" i="1"/>
  <c r="AY194" i="1"/>
  <c r="AZ194" i="1" s="1"/>
  <c r="AK16" i="1"/>
  <c r="AY16" i="1"/>
  <c r="AZ16" i="1" s="1"/>
  <c r="AW16" i="1"/>
  <c r="AP18" i="1"/>
  <c r="AS18" i="1"/>
  <c r="AA55" i="1"/>
  <c r="Z55" i="1"/>
  <c r="AQ46" i="1"/>
  <c r="AO46" i="1"/>
  <c r="AR103" i="1"/>
  <c r="AM103" i="1"/>
  <c r="AY106" i="1"/>
  <c r="AZ106" i="1" s="1"/>
  <c r="AK106" i="1"/>
  <c r="AW106" i="1"/>
  <c r="Z208" i="1"/>
  <c r="AA208" i="1"/>
  <c r="AP11" i="1"/>
  <c r="AR11" i="1" s="1"/>
  <c r="AS11" i="1"/>
  <c r="AU78" i="1"/>
  <c r="BM78" i="1"/>
  <c r="AK111" i="1"/>
  <c r="AY111" i="1"/>
  <c r="AZ111" i="1" s="1"/>
  <c r="AW111" i="1"/>
  <c r="AQ104" i="1"/>
  <c r="AO104" i="1"/>
  <c r="AK134" i="1"/>
  <c r="AW134" i="1"/>
  <c r="AY134" i="1"/>
  <c r="AZ134" i="1" s="1"/>
  <c r="AP151" i="1"/>
  <c r="AS151" i="1"/>
  <c r="AP165" i="1"/>
  <c r="AR165" i="1" s="1"/>
  <c r="AW165" i="1"/>
  <c r="AS165" i="1"/>
  <c r="AT193" i="1"/>
  <c r="AV193" i="1"/>
  <c r="AX193" i="1" s="1"/>
  <c r="BN193" i="1"/>
  <c r="AS180" i="1"/>
  <c r="AP180" i="1"/>
  <c r="AR180" i="1" s="1"/>
  <c r="AW180" i="1"/>
  <c r="AK220" i="1"/>
  <c r="AW220" i="1"/>
  <c r="AY220" i="1"/>
  <c r="AZ220" i="1" s="1"/>
  <c r="AA87" i="1"/>
  <c r="Z87" i="1"/>
  <c r="AK146" i="1"/>
  <c r="AY146" i="1"/>
  <c r="AZ146" i="1" s="1"/>
  <c r="AY25" i="1"/>
  <c r="AZ25" i="1" s="1"/>
  <c r="AK25" i="1"/>
  <c r="AM37" i="1"/>
  <c r="AA66" i="1"/>
  <c r="Z66" i="1"/>
  <c r="AS127" i="1"/>
  <c r="AR28" i="1"/>
  <c r="AM28" i="1"/>
  <c r="AS48" i="1"/>
  <c r="AP64" i="1"/>
  <c r="AR64" i="1" s="1"/>
  <c r="AS64" i="1"/>
  <c r="AW64" i="1"/>
  <c r="AA125" i="1"/>
  <c r="Z125" i="1"/>
  <c r="BM139" i="1"/>
  <c r="AU139" i="1"/>
  <c r="AQ160" i="1"/>
  <c r="AW160" i="1" s="1"/>
  <c r="AO160" i="1"/>
  <c r="AK202" i="1"/>
  <c r="AY202" i="1"/>
  <c r="AZ202" i="1" s="1"/>
  <c r="AP66" i="1"/>
  <c r="AS66" i="1"/>
  <c r="AY75" i="1"/>
  <c r="AZ75" i="1" s="1"/>
  <c r="AW75" i="1"/>
  <c r="AK75" i="1"/>
  <c r="AP184" i="1"/>
  <c r="AS184" i="1"/>
  <c r="AW147" i="1"/>
  <c r="AY147" i="1"/>
  <c r="AZ147" i="1" s="1"/>
  <c r="AK147" i="1"/>
  <c r="AT16" i="1"/>
  <c r="AV16" i="1"/>
  <c r="AX16" i="1" s="1"/>
  <c r="BN16" i="1"/>
  <c r="AA26" i="1"/>
  <c r="Z26" i="1"/>
  <c r="AQ71" i="1"/>
  <c r="AO71" i="1"/>
  <c r="AO113" i="1"/>
  <c r="AQ113" i="1"/>
  <c r="AV106" i="1"/>
  <c r="AX106" i="1" s="1"/>
  <c r="AT106" i="1"/>
  <c r="BN106" i="1"/>
  <c r="AK15" i="1"/>
  <c r="AY15" i="1"/>
  <c r="AZ15" i="1" s="1"/>
  <c r="AW15" i="1"/>
  <c r="AA25" i="1"/>
  <c r="Z25" i="1"/>
  <c r="N20" i="3"/>
  <c r="O7" i="3"/>
  <c r="AS14" i="1"/>
  <c r="AP14" i="1"/>
  <c r="AO62" i="1"/>
  <c r="AQ62" i="1"/>
  <c r="AV111" i="1"/>
  <c r="AX111" i="1" s="1"/>
  <c r="AT111" i="1"/>
  <c r="BN111" i="1"/>
  <c r="AK112" i="1"/>
  <c r="AY112" i="1"/>
  <c r="AZ112" i="1" s="1"/>
  <c r="AW155" i="1"/>
  <c r="AK155" i="1"/>
  <c r="AY155" i="1"/>
  <c r="AZ155" i="1" s="1"/>
  <c r="AV156" i="1"/>
  <c r="AX156" i="1" s="1"/>
  <c r="BN156" i="1"/>
  <c r="AT156" i="1"/>
  <c r="AR190" i="1"/>
  <c r="AM190" i="1"/>
  <c r="AA214" i="1"/>
  <c r="Z214" i="1"/>
  <c r="AW62" i="1"/>
  <c r="AK62" i="1"/>
  <c r="AY62" i="1"/>
  <c r="AZ62" i="1" s="1"/>
  <c r="AM33" i="1"/>
  <c r="AP150" i="1"/>
  <c r="AS150" i="1"/>
  <c r="AO144" i="1"/>
  <c r="AQ144" i="1"/>
  <c r="Z15" i="1"/>
  <c r="AA15" i="1"/>
  <c r="AA98" i="1"/>
  <c r="Z98" i="1"/>
  <c r="Z148" i="1"/>
  <c r="AA148" i="1"/>
  <c r="AK162" i="1"/>
  <c r="AY162" i="1"/>
  <c r="AZ162" i="1" s="1"/>
  <c r="AW162" i="1"/>
  <c r="AU189" i="1"/>
  <c r="BM189" i="1"/>
  <c r="AW219" i="1"/>
  <c r="AK219" i="1"/>
  <c r="AY219" i="1"/>
  <c r="AZ219" i="1" s="1"/>
  <c r="AP212" i="1"/>
  <c r="AR212" i="1" s="1"/>
  <c r="AS212" i="1"/>
  <c r="AW212" i="1"/>
  <c r="AK58" i="1"/>
  <c r="AY58" i="1"/>
  <c r="AZ58" i="1" s="1"/>
  <c r="AW58" i="1"/>
  <c r="AY99" i="1"/>
  <c r="AZ99" i="1" s="1"/>
  <c r="AW99" i="1"/>
  <c r="AK99" i="1"/>
  <c r="AV138" i="1"/>
  <c r="AX138" i="1" s="1"/>
  <c r="AT138" i="1"/>
  <c r="BN138" i="1"/>
  <c r="AO126" i="1"/>
  <c r="AQ126" i="1"/>
  <c r="AK152" i="1"/>
  <c r="AY152" i="1"/>
  <c r="AZ152" i="1" s="1"/>
  <c r="AW152" i="1"/>
  <c r="AO179" i="1"/>
  <c r="AQ179" i="1"/>
  <c r="AW179" i="1" s="1"/>
  <c r="AK160" i="1"/>
  <c r="AY160" i="1"/>
  <c r="AZ160" i="1" s="1"/>
  <c r="AM218" i="1"/>
  <c r="AA155" i="1"/>
  <c r="Z155" i="1"/>
  <c r="AK23" i="1"/>
  <c r="AY23" i="1"/>
  <c r="AZ23" i="1" s="1"/>
  <c r="AW23" i="1"/>
  <c r="AW80" i="1"/>
  <c r="AK80" i="1"/>
  <c r="AY80" i="1"/>
  <c r="AZ80" i="1" s="1"/>
  <c r="AW88" i="1"/>
  <c r="AK88" i="1"/>
  <c r="AY88" i="1"/>
  <c r="AZ88" i="1" s="1"/>
  <c r="AP130" i="1"/>
  <c r="AR130" i="1" s="1"/>
  <c r="AS130" i="1"/>
  <c r="AW130" i="1"/>
  <c r="AK167" i="1"/>
  <c r="AY167" i="1"/>
  <c r="AZ167" i="1" s="1"/>
  <c r="AV213" i="1"/>
  <c r="AX213" i="1" s="1"/>
  <c r="AT213" i="1"/>
  <c r="BN213" i="1"/>
  <c r="AT23" i="1"/>
  <c r="AV23" i="1"/>
  <c r="AX23" i="1" s="1"/>
  <c r="BN23" i="1"/>
  <c r="AV80" i="1"/>
  <c r="AX80" i="1" s="1"/>
  <c r="AT80" i="1"/>
  <c r="BN80" i="1"/>
  <c r="AY136" i="1"/>
  <c r="AZ136" i="1" s="1"/>
  <c r="AW136" i="1"/>
  <c r="AK136" i="1"/>
  <c r="AR192" i="1"/>
  <c r="AM192" i="1"/>
  <c r="AP209" i="1"/>
  <c r="AR209" i="1" s="1"/>
  <c r="AW209" i="1"/>
  <c r="AS209" i="1"/>
  <c r="AY213" i="1"/>
  <c r="AZ213" i="1" s="1"/>
  <c r="AW213" i="1"/>
  <c r="AK213" i="1"/>
  <c r="Z67" i="1"/>
  <c r="AA67" i="1"/>
  <c r="AA176" i="1"/>
  <c r="Z176" i="1"/>
  <c r="Z99" i="1"/>
  <c r="AA99" i="1"/>
  <c r="AY107" i="1"/>
  <c r="AZ107" i="1" s="1"/>
  <c r="AW107" i="1"/>
  <c r="AK107" i="1"/>
  <c r="AR199" i="1"/>
  <c r="AM199" i="1"/>
  <c r="AQ54" i="1"/>
  <c r="AO54" i="1"/>
  <c r="AV95" i="1"/>
  <c r="AX95" i="1" s="1"/>
  <c r="AT95" i="1"/>
  <c r="BN95" i="1"/>
  <c r="AO134" i="1"/>
  <c r="AQ134" i="1"/>
  <c r="AO155" i="1"/>
  <c r="AQ155" i="1"/>
  <c r="AR173" i="1"/>
  <c r="AM173" i="1"/>
  <c r="AS208" i="1"/>
  <c r="AK206" i="1"/>
  <c r="AW206" i="1"/>
  <c r="AY206" i="1"/>
  <c r="AZ206" i="1" s="1"/>
  <c r="AV98" i="1"/>
  <c r="AX98" i="1" s="1"/>
  <c r="AT98" i="1"/>
  <c r="BN98" i="1"/>
  <c r="Q9" i="4"/>
  <c r="R9" i="4" s="1"/>
  <c r="AR66" i="1"/>
  <c r="AM66" i="1"/>
  <c r="AV60" i="1"/>
  <c r="AX60" i="1" s="1"/>
  <c r="AT60" i="1"/>
  <c r="BN60" i="1"/>
  <c r="Q12" i="4"/>
  <c r="R12" i="4" s="1"/>
  <c r="AY72" i="1"/>
  <c r="AZ72" i="1" s="1"/>
  <c r="AK72" i="1"/>
  <c r="AP79" i="1"/>
  <c r="AR79" i="1" s="1"/>
  <c r="AS79" i="1"/>
  <c r="AK113" i="1"/>
  <c r="AY113" i="1"/>
  <c r="AZ113" i="1" s="1"/>
  <c r="AT15" i="1"/>
  <c r="AV15" i="1"/>
  <c r="AX15" i="1" s="1"/>
  <c r="BN15" i="1"/>
  <c r="AA42" i="1"/>
  <c r="Z42" i="1"/>
  <c r="AP109" i="1"/>
  <c r="AR109" i="1" s="1"/>
  <c r="AS109" i="1"/>
  <c r="AW109" i="1"/>
  <c r="AA146" i="1"/>
  <c r="B14" i="4" s="1"/>
  <c r="D14" i="4" s="1"/>
  <c r="E14" i="4" s="1"/>
  <c r="Z146" i="1"/>
  <c r="Z175" i="1"/>
  <c r="AA175" i="1"/>
  <c r="AV196" i="1"/>
  <c r="AX196" i="1" s="1"/>
  <c r="AT196" i="1"/>
  <c r="BN196" i="1"/>
  <c r="AP28" i="1"/>
  <c r="AS28" i="1"/>
  <c r="AW144" i="1"/>
  <c r="AK144" i="1"/>
  <c r="AY144" i="1"/>
  <c r="AZ144" i="1" s="1"/>
  <c r="Q6" i="4"/>
  <c r="R6" i="4" s="1"/>
  <c r="AA63" i="1"/>
  <c r="Z63" i="1"/>
  <c r="AY104" i="1"/>
  <c r="AZ104" i="1" s="1"/>
  <c r="AK104" i="1"/>
  <c r="AW104" i="1"/>
  <c r="AS219" i="1"/>
  <c r="AS58" i="1"/>
  <c r="AS99" i="1"/>
  <c r="AY82" i="1"/>
  <c r="AZ82" i="1" s="1"/>
  <c r="AK82" i="1"/>
  <c r="AW82" i="1"/>
  <c r="AA110" i="1"/>
  <c r="Z110" i="1"/>
  <c r="AR150" i="1"/>
  <c r="AM150" i="1"/>
  <c r="AK126" i="1"/>
  <c r="AY126" i="1"/>
  <c r="AZ126" i="1" s="1"/>
  <c r="AS152" i="1"/>
  <c r="AS191" i="1"/>
  <c r="AK179" i="1"/>
  <c r="AY179" i="1"/>
  <c r="AZ179" i="1" s="1"/>
  <c r="AP96" i="1"/>
  <c r="AR96" i="1" s="1"/>
  <c r="AS96" i="1"/>
  <c r="AW96" i="1"/>
  <c r="AY95" i="1"/>
  <c r="AZ95" i="1" s="1"/>
  <c r="AW95" i="1"/>
  <c r="AK95" i="1"/>
  <c r="AU110" i="1"/>
  <c r="BM110" i="1"/>
  <c r="AP12" i="1"/>
  <c r="AR12" i="1" s="1"/>
  <c r="AS12" i="1"/>
  <c r="AA43" i="1"/>
  <c r="Z43" i="1"/>
  <c r="AU115" i="1"/>
  <c r="BM115" i="1"/>
  <c r="AR100" i="1"/>
  <c r="AM100" i="1"/>
  <c r="AA80" i="1"/>
  <c r="B12" i="4" s="1"/>
  <c r="D12" i="4" s="1"/>
  <c r="E12" i="4" s="1"/>
  <c r="Z80" i="1"/>
  <c r="AK135" i="1"/>
  <c r="AW135" i="1"/>
  <c r="AY135" i="1"/>
  <c r="AZ135" i="1" s="1"/>
  <c r="AR38" i="1"/>
  <c r="AM38" i="1"/>
  <c r="AP40" i="1"/>
  <c r="AS40" i="1"/>
  <c r="AO34" i="1"/>
  <c r="AQ34" i="1"/>
  <c r="BM53" i="1"/>
  <c r="AU53" i="1"/>
  <c r="AV67" i="1"/>
  <c r="AX67" i="1" s="1"/>
  <c r="AT67" i="1"/>
  <c r="BN67" i="1"/>
  <c r="AQ56" i="1"/>
  <c r="AO56" i="1"/>
  <c r="AK69" i="1"/>
  <c r="AY69" i="1"/>
  <c r="AZ69" i="1" s="1"/>
  <c r="AA68" i="1"/>
  <c r="Z68" i="1"/>
  <c r="BN110" i="1"/>
  <c r="AT110" i="1"/>
  <c r="AV110" i="1"/>
  <c r="AX110" i="1" s="1"/>
  <c r="AQ141" i="1"/>
  <c r="AO141" i="1"/>
  <c r="AV169" i="1"/>
  <c r="AX169" i="1" s="1"/>
  <c r="AT169" i="1"/>
  <c r="BN169" i="1"/>
  <c r="AV189" i="1"/>
  <c r="AX189" i="1" s="1"/>
  <c r="AT189" i="1"/>
  <c r="BN189" i="1"/>
  <c r="AV206" i="1"/>
  <c r="AX206" i="1" s="1"/>
  <c r="AT206" i="1"/>
  <c r="BN206" i="1"/>
  <c r="AW98" i="1"/>
  <c r="AK98" i="1"/>
  <c r="AY98" i="1"/>
  <c r="AZ98" i="1" s="1"/>
  <c r="BW3" i="1"/>
  <c r="BW4" i="1" s="1"/>
  <c r="AP38" i="1"/>
  <c r="AS38" i="1"/>
  <c r="BN86" i="1"/>
  <c r="AT86" i="1"/>
  <c r="AV86" i="1"/>
  <c r="AX86" i="1" s="1"/>
  <c r="AP142" i="1"/>
  <c r="AS142" i="1"/>
  <c r="AQ25" i="1"/>
  <c r="AW25" i="1" s="1"/>
  <c r="AO25" i="1"/>
  <c r="AR18" i="1"/>
  <c r="AM18" i="1"/>
  <c r="AR76" i="1"/>
  <c r="AM76" i="1"/>
  <c r="AP83" i="1"/>
  <c r="AR83" i="1" s="1"/>
  <c r="AS83" i="1"/>
  <c r="AW83" i="1"/>
  <c r="AP123" i="1"/>
  <c r="AR123" i="1" s="1"/>
  <c r="AS123" i="1"/>
  <c r="AW123" i="1"/>
  <c r="AQ112" i="1"/>
  <c r="AO112" i="1"/>
  <c r="AW166" i="1"/>
  <c r="AK166" i="1"/>
  <c r="AY166" i="1"/>
  <c r="AZ166" i="1" s="1"/>
  <c r="AQ161" i="1"/>
  <c r="AO161" i="1"/>
  <c r="AV181" i="1"/>
  <c r="AX181" i="1" s="1"/>
  <c r="AT181" i="1"/>
  <c r="BN181" i="1"/>
  <c r="AW196" i="1"/>
  <c r="AY196" i="1"/>
  <c r="AZ196" i="1" s="1"/>
  <c r="AK196" i="1"/>
  <c r="Z20" i="1"/>
  <c r="AA20" i="1"/>
  <c r="AY120" i="1"/>
  <c r="AZ120" i="1" s="1"/>
  <c r="AW120" i="1"/>
  <c r="AK120" i="1"/>
  <c r="Z216" i="1"/>
  <c r="AA216" i="1"/>
  <c r="AA213" i="1"/>
  <c r="Z213" i="1"/>
  <c r="AP9" i="1"/>
  <c r="AS9" i="1"/>
  <c r="AW9" i="1"/>
  <c r="AP30" i="1"/>
  <c r="AS30" i="1"/>
  <c r="AS82" i="1"/>
  <c r="AS125" i="1"/>
  <c r="AW150" i="1"/>
  <c r="Z152" i="1"/>
  <c r="AA152" i="1"/>
  <c r="AY191" i="1"/>
  <c r="AZ191" i="1" s="1"/>
  <c r="AW191" i="1"/>
  <c r="AK191" i="1"/>
  <c r="AQ202" i="1"/>
  <c r="AO202" i="1"/>
  <c r="AP205" i="1"/>
  <c r="AR205" i="1" s="1"/>
  <c r="AS205" i="1"/>
  <c r="AW205" i="1"/>
  <c r="T4" i="4"/>
  <c r="AP55" i="1"/>
  <c r="AS55" i="1"/>
  <c r="AP65" i="1"/>
  <c r="AR65" i="1" s="1"/>
  <c r="AS65" i="1"/>
  <c r="AA59" i="1"/>
  <c r="Z59" i="1"/>
  <c r="AV88" i="1"/>
  <c r="AX88" i="1" s="1"/>
  <c r="AT88" i="1"/>
  <c r="BN88" i="1"/>
  <c r="AR200" i="1"/>
  <c r="AM200" i="1"/>
  <c r="AP218" i="1"/>
  <c r="AR218" i="1" s="1"/>
  <c r="AS218" i="1"/>
  <c r="AU61" i="1"/>
  <c r="BM61" i="1"/>
  <c r="AO69" i="1"/>
  <c r="AQ69" i="1"/>
  <c r="D17" i="3"/>
  <c r="AM225" i="1"/>
  <c r="AA31" i="1"/>
  <c r="B6" i="4" s="1"/>
  <c r="D6" i="4" s="1"/>
  <c r="E6" i="4" s="1"/>
  <c r="Z31" i="1"/>
  <c r="Z96" i="1"/>
  <c r="AA96" i="1"/>
  <c r="AP68" i="1"/>
  <c r="AR68" i="1" s="1"/>
  <c r="AW68" i="1"/>
  <c r="AS68" i="1"/>
  <c r="AW100" i="1"/>
  <c r="AV221" i="1"/>
  <c r="AX221" i="1" s="1"/>
  <c r="AT221" i="1"/>
  <c r="BN221" i="1"/>
  <c r="AV177" i="1"/>
  <c r="AX177" i="1" s="1"/>
  <c r="AT177" i="1"/>
  <c r="BN177" i="1"/>
  <c r="AR39" i="1"/>
  <c r="AM39" i="1"/>
  <c r="AW40" i="1"/>
  <c r="AP52" i="1"/>
  <c r="AR52" i="1" s="1"/>
  <c r="AW52" i="1"/>
  <c r="AS52" i="1"/>
  <c r="AQ42" i="1"/>
  <c r="AO42" i="1"/>
  <c r="AU86" i="1"/>
  <c r="BM86" i="1"/>
  <c r="AU156" i="1"/>
  <c r="BM156" i="1"/>
  <c r="AO135" i="1"/>
  <c r="AQ135" i="1"/>
  <c r="AP149" i="1"/>
  <c r="AS149" i="1"/>
  <c r="AR184" i="1"/>
  <c r="AM184" i="1"/>
  <c r="Z201" i="1"/>
  <c r="AA201" i="1"/>
  <c r="AP168" i="1"/>
  <c r="AR168" i="1" s="1"/>
  <c r="AS168" i="1"/>
  <c r="AW168" i="1"/>
  <c r="Z178" i="1"/>
  <c r="AA178" i="1"/>
  <c r="Z70" i="1"/>
  <c r="AA70" i="1"/>
  <c r="AK56" i="1"/>
  <c r="AY56" i="1"/>
  <c r="AZ56" i="1" s="1"/>
  <c r="AW56" i="1"/>
  <c r="AM63" i="1"/>
  <c r="AP132" i="1"/>
  <c r="AR132" i="1" s="1"/>
  <c r="AS132" i="1"/>
  <c r="AY141" i="1"/>
  <c r="AZ141" i="1" s="1"/>
  <c r="AK141" i="1"/>
  <c r="AW141" i="1"/>
  <c r="AK154" i="1"/>
  <c r="AY154" i="1"/>
  <c r="AZ154" i="1" s="1"/>
  <c r="AW154" i="1"/>
  <c r="AP157" i="1"/>
  <c r="AR157" i="1" s="1"/>
  <c r="AS157" i="1"/>
  <c r="AW157" i="1"/>
  <c r="AY169" i="1"/>
  <c r="AZ169" i="1" s="1"/>
  <c r="AW169" i="1"/>
  <c r="AK169" i="1"/>
  <c r="AK174" i="1"/>
  <c r="AY174" i="1"/>
  <c r="AZ174" i="1" s="1"/>
  <c r="AW174" i="1"/>
  <c r="AQ217" i="1"/>
  <c r="AW217" i="1" s="1"/>
  <c r="AO217" i="1"/>
  <c r="P4" i="4"/>
  <c r="AW13" i="1"/>
  <c r="H13" i="4"/>
  <c r="AV124" i="1"/>
  <c r="AX124" i="1" s="1"/>
  <c r="AT124" i="1"/>
  <c r="BN124" i="1"/>
  <c r="AM187" i="1"/>
  <c r="AW18" i="1"/>
  <c r="AY54" i="1"/>
  <c r="AZ54" i="1" s="1"/>
  <c r="AW54" i="1"/>
  <c r="AK54" i="1"/>
  <c r="BN94" i="1"/>
  <c r="AT94" i="1"/>
  <c r="AV94" i="1"/>
  <c r="AX94" i="1" s="1"/>
  <c r="AV74" i="1"/>
  <c r="AX74" i="1" s="1"/>
  <c r="AT74" i="1"/>
  <c r="BN74" i="1"/>
  <c r="AK143" i="1"/>
  <c r="AY143" i="1"/>
  <c r="AZ143" i="1" s="1"/>
  <c r="AW143" i="1"/>
  <c r="AQ162" i="1"/>
  <c r="AO162" i="1"/>
  <c r="AS166" i="1"/>
  <c r="AK161" i="1"/>
  <c r="AY161" i="1"/>
  <c r="AZ161" i="1" s="1"/>
  <c r="AW161" i="1"/>
  <c r="AQ207" i="1"/>
  <c r="AO207" i="1"/>
  <c r="AY71" i="1"/>
  <c r="AZ71" i="1" s="1"/>
  <c r="AK71" i="1"/>
  <c r="AW71" i="1"/>
  <c r="Z194" i="1"/>
  <c r="AA194" i="1"/>
  <c r="BM27" i="1"/>
  <c r="AU27" i="1"/>
  <c r="AA33" i="1"/>
  <c r="Z33" i="1"/>
  <c r="AU21" i="1"/>
  <c r="BM21" i="1"/>
  <c r="AP39" i="1"/>
  <c r="AS39" i="1"/>
  <c r="AT77" i="1"/>
  <c r="AV77" i="1"/>
  <c r="AX77" i="1" s="1"/>
  <c r="BN77" i="1"/>
  <c r="AV120" i="1"/>
  <c r="AX120" i="1" s="1"/>
  <c r="AT120" i="1"/>
  <c r="BN120" i="1"/>
  <c r="AM149" i="1"/>
  <c r="AR149" i="1"/>
  <c r="AP158" i="1"/>
  <c r="AS158" i="1"/>
  <c r="AP197" i="1"/>
  <c r="AR197" i="1" s="1"/>
  <c r="AS197" i="1"/>
  <c r="AW197" i="1"/>
  <c r="AK186" i="1"/>
  <c r="AY186" i="1"/>
  <c r="AZ186" i="1" s="1"/>
  <c r="AW186" i="1"/>
  <c r="AP37" i="1"/>
  <c r="AR37" i="1" s="1"/>
  <c r="AS37" i="1"/>
  <c r="AR55" i="1"/>
  <c r="AM55" i="1"/>
  <c r="AS43" i="1"/>
  <c r="AY125" i="1"/>
  <c r="AZ125" i="1" s="1"/>
  <c r="AK125" i="1"/>
  <c r="AW125" i="1"/>
  <c r="AW121" i="1"/>
  <c r="AK121" i="1"/>
  <c r="AY121" i="1"/>
  <c r="AZ121" i="1" s="1"/>
  <c r="AU164" i="1"/>
  <c r="BM164" i="1"/>
  <c r="AA147" i="1"/>
  <c r="Z147" i="1"/>
  <c r="AS172" i="1"/>
  <c r="H17" i="4"/>
  <c r="AP223" i="1"/>
  <c r="AS223" i="1"/>
  <c r="AR214" i="1"/>
  <c r="AM214" i="1"/>
  <c r="AA121" i="1"/>
  <c r="Z121" i="1"/>
  <c r="Z220" i="1"/>
  <c r="AA220" i="1"/>
  <c r="AQ215" i="1"/>
  <c r="AO215" i="1"/>
  <c r="AP108" i="1"/>
  <c r="AR108" i="1" s="1"/>
  <c r="AS108" i="1"/>
  <c r="AW108" i="1"/>
  <c r="AS175" i="1"/>
  <c r="W5" i="4"/>
  <c r="V4" i="4"/>
  <c r="AT183" i="1"/>
  <c r="AV183" i="1"/>
  <c r="AX183" i="1" s="1"/>
  <c r="BN183" i="1"/>
  <c r="AA205" i="1"/>
  <c r="Z205" i="1"/>
  <c r="AY208" i="1"/>
  <c r="AZ208" i="1" s="1"/>
  <c r="AW208" i="1"/>
  <c r="AK208" i="1"/>
  <c r="BN115" i="1"/>
  <c r="AV115" i="1"/>
  <c r="AX115" i="1" s="1"/>
  <c r="AT115" i="1"/>
  <c r="AT136" i="1"/>
  <c r="AV136" i="1"/>
  <c r="AX136" i="1" s="1"/>
  <c r="BN136" i="1"/>
  <c r="AA177" i="1"/>
  <c r="Z177" i="1"/>
  <c r="BN178" i="1"/>
  <c r="AT178" i="1"/>
  <c r="AV178" i="1"/>
  <c r="AX178" i="1" s="1"/>
  <c r="AA88" i="1"/>
  <c r="Z88" i="1"/>
  <c r="AV107" i="1"/>
  <c r="AX107" i="1" s="1"/>
  <c r="AT107" i="1"/>
  <c r="BN107" i="1"/>
  <c r="AW184" i="1"/>
  <c r="AY188" i="1"/>
  <c r="AZ188" i="1" s="1"/>
  <c r="AW188" i="1"/>
  <c r="AK188" i="1"/>
  <c r="AR204" i="1"/>
  <c r="AM204" i="1"/>
  <c r="Q5" i="4"/>
  <c r="O4" i="4"/>
  <c r="AW59" i="1"/>
  <c r="AK59" i="1"/>
  <c r="AY59" i="1"/>
  <c r="AZ59" i="1" s="1"/>
  <c r="Z78" i="1"/>
  <c r="AA78" i="1"/>
  <c r="B13" i="4" s="1"/>
  <c r="D13" i="4" s="1"/>
  <c r="E13" i="4" s="1"/>
  <c r="AU140" i="1"/>
  <c r="BM140" i="1"/>
  <c r="AW128" i="1"/>
  <c r="AK128" i="1"/>
  <c r="AY128" i="1"/>
  <c r="AZ128" i="1" s="1"/>
  <c r="AV154" i="1"/>
  <c r="AX154" i="1" s="1"/>
  <c r="AT154" i="1"/>
  <c r="BN154" i="1"/>
  <c r="AA191" i="1"/>
  <c r="Z191" i="1"/>
  <c r="AP195" i="1"/>
  <c r="AR195" i="1" s="1"/>
  <c r="AS195" i="1"/>
  <c r="Z14" i="1"/>
  <c r="AA14" i="1"/>
  <c r="AR13" i="1"/>
  <c r="AM13" i="1"/>
  <c r="AQ41" i="1"/>
  <c r="AO41" i="1"/>
  <c r="AM84" i="1"/>
  <c r="Z128" i="1"/>
  <c r="AA128" i="1"/>
  <c r="AA137" i="1"/>
  <c r="Z137" i="1"/>
  <c r="AM22" i="1"/>
  <c r="AW34" i="1"/>
  <c r="AK34" i="1"/>
  <c r="AY34" i="1"/>
  <c r="AZ34" i="1" s="1"/>
  <c r="AA79" i="1"/>
  <c r="Z79" i="1"/>
  <c r="AY74" i="1"/>
  <c r="AZ74" i="1" s="1"/>
  <c r="AK74" i="1"/>
  <c r="AW74" i="1"/>
  <c r="AQ93" i="1"/>
  <c r="AO93" i="1"/>
  <c r="AV143" i="1"/>
  <c r="AX143" i="1" s="1"/>
  <c r="AT143" i="1"/>
  <c r="BN143" i="1"/>
  <c r="AO163" i="1"/>
  <c r="AQ163" i="1"/>
  <c r="AW163" i="1" s="1"/>
  <c r="Z179" i="1"/>
  <c r="AA179" i="1"/>
  <c r="Z211" i="1"/>
  <c r="AA211" i="1"/>
  <c r="AK207" i="1"/>
  <c r="AW207" i="1"/>
  <c r="AY207" i="1"/>
  <c r="AZ207" i="1" s="1"/>
  <c r="AP44" i="1"/>
  <c r="AR44" i="1" s="1"/>
  <c r="AW44" i="1"/>
  <c r="AS44" i="1"/>
  <c r="AW79" i="1"/>
  <c r="AU36" i="1"/>
  <c r="BM36" i="1"/>
  <c r="C4" i="4"/>
  <c r="AK32" i="1"/>
  <c r="AY32" i="1"/>
  <c r="AZ32" i="1" s="1"/>
  <c r="AW32" i="1"/>
  <c r="AU70" i="1"/>
  <c r="BM70" i="1"/>
  <c r="AR97" i="1"/>
  <c r="AM97" i="1"/>
  <c r="AK101" i="1"/>
  <c r="AY101" i="1"/>
  <c r="AZ101" i="1" s="1"/>
  <c r="AW101" i="1"/>
  <c r="Q11" i="4"/>
  <c r="R11" i="4" s="1"/>
  <c r="BN139" i="1"/>
  <c r="AT139" i="1"/>
  <c r="AV139" i="1"/>
  <c r="AX139" i="1" s="1"/>
  <c r="AM195" i="1"/>
  <c r="AS186" i="1"/>
  <c r="AQ216" i="1"/>
  <c r="H11" i="4" s="1"/>
  <c r="AO216" i="1"/>
  <c r="AV36" i="1"/>
  <c r="AX36" i="1" s="1"/>
  <c r="BN36" i="1"/>
  <c r="AT36" i="1"/>
  <c r="AW12" i="1"/>
  <c r="AR19" i="1"/>
  <c r="AM19" i="1"/>
  <c r="AW43" i="1"/>
  <c r="AK43" i="1"/>
  <c r="AY43" i="1"/>
  <c r="AZ43" i="1" s="1"/>
  <c r="AY116" i="1"/>
  <c r="AZ116" i="1" s="1"/>
  <c r="AW116" i="1"/>
  <c r="AK116" i="1"/>
  <c r="AW114" i="1"/>
  <c r="AY114" i="1"/>
  <c r="AZ114" i="1" s="1"/>
  <c r="AK114" i="1"/>
  <c r="AS121" i="1"/>
  <c r="AY172" i="1"/>
  <c r="AZ172" i="1" s="1"/>
  <c r="AW172" i="1"/>
  <c r="AK172" i="1"/>
  <c r="AM176" i="1"/>
  <c r="AA221" i="1"/>
  <c r="B5" i="4" s="1"/>
  <c r="Z221" i="1"/>
  <c r="AK215" i="1"/>
  <c r="AY215" i="1"/>
  <c r="AZ215" i="1" s="1"/>
  <c r="AW215" i="1"/>
  <c r="AW175" i="1"/>
  <c r="AY175" i="1"/>
  <c r="AZ175" i="1" s="1"/>
  <c r="AK175" i="1"/>
  <c r="AR151" i="1"/>
  <c r="AM151" i="1"/>
  <c r="AR67" i="1"/>
  <c r="AM67" i="1"/>
  <c r="AU131" i="1"/>
  <c r="BM131" i="1"/>
  <c r="AU145" i="1"/>
  <c r="BM145" i="1"/>
  <c r="AA188" i="1"/>
  <c r="Z188" i="1"/>
  <c r="E7" i="3"/>
  <c r="AU89" i="1"/>
  <c r="BM89" i="1"/>
  <c r="AO117" i="1"/>
  <c r="AQ117" i="1"/>
  <c r="AS49" i="1"/>
  <c r="AQ31" i="1"/>
  <c r="AO31" i="1"/>
  <c r="AW159" i="1"/>
  <c r="AR223" i="1"/>
  <c r="AM223" i="1"/>
  <c r="AY221" i="1"/>
  <c r="AZ221" i="1" s="1"/>
  <c r="AW221" i="1"/>
  <c r="AK221" i="1"/>
  <c r="AY177" i="1"/>
  <c r="AZ177" i="1" s="1"/>
  <c r="AW177" i="1"/>
  <c r="AK177" i="1"/>
  <c r="AA45" i="1"/>
  <c r="B8" i="4" s="1"/>
  <c r="D8" i="4" s="1"/>
  <c r="E8" i="4" s="1"/>
  <c r="Z45" i="1"/>
  <c r="AU81" i="1"/>
  <c r="BM81" i="1"/>
  <c r="AR14" i="1"/>
  <c r="AM14" i="1"/>
  <c r="AY49" i="1"/>
  <c r="AZ49" i="1" s="1"/>
  <c r="AW49" i="1"/>
  <c r="AK49" i="1"/>
  <c r="AP59" i="1"/>
  <c r="AK31" i="1"/>
  <c r="AY31" i="1"/>
  <c r="AZ31" i="1" s="1"/>
  <c r="AW31" i="1"/>
  <c r="AA71" i="1"/>
  <c r="Z71" i="1"/>
  <c r="AR138" i="1"/>
  <c r="AM138" i="1"/>
  <c r="AQ146" i="1"/>
  <c r="AO146" i="1"/>
  <c r="AO167" i="1"/>
  <c r="AQ167" i="1"/>
  <c r="AP187" i="1"/>
  <c r="AR187" i="1" s="1"/>
  <c r="AS187" i="1"/>
  <c r="AA217" i="1"/>
  <c r="Z217" i="1"/>
  <c r="AY17" i="1"/>
  <c r="AZ17" i="1" s="1"/>
  <c r="AW17" i="1"/>
  <c r="AK17" i="1"/>
  <c r="AR40" i="1"/>
  <c r="AM40" i="1"/>
  <c r="AP122" i="1"/>
  <c r="AR122" i="1" s="1"/>
  <c r="AS122" i="1"/>
  <c r="AW122" i="1"/>
  <c r="AV188" i="1"/>
  <c r="AX188" i="1" s="1"/>
  <c r="AT188" i="1"/>
  <c r="BN188" i="1"/>
  <c r="AA209" i="1"/>
  <c r="Z209" i="1"/>
  <c r="AP176" i="1"/>
  <c r="AR176" i="1" s="1"/>
  <c r="AS176" i="1"/>
  <c r="AK47" i="1"/>
  <c r="AY47" i="1"/>
  <c r="AZ47" i="1" s="1"/>
  <c r="AW47" i="1"/>
  <c r="AQ57" i="1"/>
  <c r="AO57" i="1"/>
  <c r="AP137" i="1"/>
  <c r="AR137" i="1" s="1"/>
  <c r="AS137" i="1"/>
  <c r="AW137" i="1"/>
  <c r="AQ174" i="1"/>
  <c r="AO174" i="1"/>
  <c r="AR198" i="1"/>
  <c r="AM198" i="1"/>
  <c r="AP22" i="1"/>
  <c r="AR22" i="1" s="1"/>
  <c r="AS22" i="1"/>
  <c r="AW103" i="1"/>
  <c r="AP92" i="1"/>
  <c r="AR92" i="1" s="1"/>
  <c r="AS92" i="1"/>
  <c r="AQ85" i="1"/>
  <c r="AO85" i="1"/>
  <c r="AR30" i="1"/>
  <c r="AM30" i="1"/>
  <c r="AV26" i="1"/>
  <c r="AX26" i="1" s="1"/>
  <c r="AT26" i="1"/>
  <c r="BN26" i="1"/>
  <c r="AY46" i="1"/>
  <c r="AZ46" i="1" s="1"/>
  <c r="AW46" i="1"/>
  <c r="AK46" i="1"/>
  <c r="AP84" i="1"/>
  <c r="AR84" i="1" s="1"/>
  <c r="AS84" i="1"/>
  <c r="AY90" i="1"/>
  <c r="AZ90" i="1" s="1"/>
  <c r="AW90" i="1"/>
  <c r="AK90" i="1"/>
  <c r="AK93" i="1"/>
  <c r="AY93" i="1"/>
  <c r="AZ93" i="1" s="1"/>
  <c r="AW93" i="1"/>
  <c r="AW117" i="1"/>
  <c r="AK117" i="1"/>
  <c r="AY117" i="1"/>
  <c r="AZ117" i="1" s="1"/>
  <c r="AQ119" i="1"/>
  <c r="AO119" i="1"/>
  <c r="AP148" i="1"/>
  <c r="AR148" i="1" s="1"/>
  <c r="AS148" i="1"/>
  <c r="B16" i="4"/>
  <c r="D16" i="4" s="1"/>
  <c r="E16" i="4" s="1"/>
  <c r="H15" i="4"/>
  <c r="AP225" i="1"/>
  <c r="AR225" i="1" s="1"/>
  <c r="AS225" i="1"/>
  <c r="AW42" i="1"/>
  <c r="AK42" i="1"/>
  <c r="AY42" i="1"/>
  <c r="AZ42" i="1" s="1"/>
  <c r="AP63" i="1"/>
  <c r="AR63" i="1" s="1"/>
  <c r="AS63" i="1"/>
  <c r="AP73" i="1"/>
  <c r="AR73" i="1" s="1"/>
  <c r="AS73" i="1"/>
  <c r="AW73" i="1"/>
  <c r="AQ32" i="1"/>
  <c r="AO32" i="1"/>
  <c r="AP51" i="1"/>
  <c r="AR51" i="1" s="1"/>
  <c r="AS51" i="1"/>
  <c r="AW51" i="1"/>
  <c r="AV101" i="1"/>
  <c r="AX101" i="1" s="1"/>
  <c r="AT101" i="1"/>
  <c r="BN101" i="1"/>
  <c r="AP133" i="1"/>
  <c r="AR133" i="1" s="1"/>
  <c r="AS133" i="1"/>
  <c r="AK216" i="1"/>
  <c r="AY216" i="1"/>
  <c r="AZ216" i="1" s="1"/>
  <c r="AW216" i="1"/>
  <c r="AK87" i="1"/>
  <c r="AY87" i="1"/>
  <c r="AZ87" i="1" s="1"/>
  <c r="AW87" i="1"/>
  <c r="AS116" i="1"/>
  <c r="AS114" i="1"/>
  <c r="AA139" i="1"/>
  <c r="Z139" i="1"/>
  <c r="AA163" i="1"/>
  <c r="Z163" i="1"/>
  <c r="AA162" i="1"/>
  <c r="Z162" i="1"/>
  <c r="BN182" i="1"/>
  <c r="AT182" i="1"/>
  <c r="AV182" i="1"/>
  <c r="AX182" i="1" s="1"/>
  <c r="L19" i="6"/>
  <c r="C19" i="6"/>
  <c r="E17" i="7"/>
  <c r="O43" i="7" l="1"/>
  <c r="BM63" i="1"/>
  <c r="AU63" i="1"/>
  <c r="BM159" i="1"/>
  <c r="AU159" i="1"/>
  <c r="BM133" i="1"/>
  <c r="AU133" i="1"/>
  <c r="AU176" i="1"/>
  <c r="BM176" i="1"/>
  <c r="AU79" i="1"/>
  <c r="BM79" i="1"/>
  <c r="D5" i="4"/>
  <c r="I10" i="4"/>
  <c r="AU187" i="1"/>
  <c r="BM187" i="1"/>
  <c r="BM225" i="1"/>
  <c r="AU225" i="1"/>
  <c r="BM22" i="1"/>
  <c r="AU22" i="1"/>
  <c r="AU195" i="1"/>
  <c r="BM195" i="1"/>
  <c r="AU37" i="1"/>
  <c r="BM37" i="1"/>
  <c r="BM12" i="1"/>
  <c r="AU12" i="1"/>
  <c r="BM92" i="1"/>
  <c r="AU92" i="1"/>
  <c r="BM84" i="1"/>
  <c r="AU84" i="1"/>
  <c r="BM218" i="1"/>
  <c r="AU218" i="1"/>
  <c r="BM65" i="1"/>
  <c r="AU65" i="1"/>
  <c r="AU33" i="1"/>
  <c r="BM33" i="1"/>
  <c r="J15" i="4"/>
  <c r="K15" i="4" s="1"/>
  <c r="AP167" i="1"/>
  <c r="AS167" i="1"/>
  <c r="AP31" i="1"/>
  <c r="AS31" i="1"/>
  <c r="AR186" i="1"/>
  <c r="AM186" i="1"/>
  <c r="AM56" i="1"/>
  <c r="AR183" i="1"/>
  <c r="AM183" i="1"/>
  <c r="AU51" i="1"/>
  <c r="BM51" i="1"/>
  <c r="AU148" i="1"/>
  <c r="BM148" i="1"/>
  <c r="AR93" i="1"/>
  <c r="AM93" i="1"/>
  <c r="AP85" i="1"/>
  <c r="AS85" i="1"/>
  <c r="AP146" i="1"/>
  <c r="AS146" i="1"/>
  <c r="AV116" i="1"/>
  <c r="AX116" i="1" s="1"/>
  <c r="AT116" i="1"/>
  <c r="BN116" i="1"/>
  <c r="AP32" i="1"/>
  <c r="AR32" i="1" s="1"/>
  <c r="AS32" i="1"/>
  <c r="AP119" i="1"/>
  <c r="AS119" i="1"/>
  <c r="AV176" i="1"/>
  <c r="AX176" i="1" s="1"/>
  <c r="BN176" i="1"/>
  <c r="AT176" i="1"/>
  <c r="AV122" i="1"/>
  <c r="AX122" i="1" s="1"/>
  <c r="AT122" i="1"/>
  <c r="BN122" i="1"/>
  <c r="BM138" i="1"/>
  <c r="AU138" i="1"/>
  <c r="AR49" i="1"/>
  <c r="AM49" i="1"/>
  <c r="BM223" i="1"/>
  <c r="AU223" i="1"/>
  <c r="BN44" i="1"/>
  <c r="AV44" i="1"/>
  <c r="AX44" i="1" s="1"/>
  <c r="AT44" i="1"/>
  <c r="AP93" i="1"/>
  <c r="AS93" i="1"/>
  <c r="AR208" i="1"/>
  <c r="AM208" i="1"/>
  <c r="W4" i="4"/>
  <c r="AR143" i="1"/>
  <c r="AM143" i="1"/>
  <c r="AM174" i="1"/>
  <c r="H7" i="4"/>
  <c r="AP42" i="1"/>
  <c r="AS42" i="1"/>
  <c r="BM68" i="1"/>
  <c r="AU68" i="1"/>
  <c r="AP69" i="1"/>
  <c r="AR69" i="1" s="1"/>
  <c r="AS69" i="1"/>
  <c r="AU83" i="1"/>
  <c r="BM83" i="1"/>
  <c r="AR98" i="1"/>
  <c r="AM98" i="1"/>
  <c r="AU100" i="1"/>
  <c r="BM100" i="1"/>
  <c r="AV58" i="1"/>
  <c r="AX58" i="1" s="1"/>
  <c r="AT58" i="1"/>
  <c r="BN58" i="1"/>
  <c r="AV79" i="1"/>
  <c r="AX79" i="1" s="1"/>
  <c r="AT79" i="1"/>
  <c r="BN79" i="1"/>
  <c r="AR107" i="1"/>
  <c r="AM107" i="1"/>
  <c r="BM192" i="1"/>
  <c r="AU192" i="1"/>
  <c r="AP126" i="1"/>
  <c r="AS126" i="1"/>
  <c r="AU190" i="1"/>
  <c r="BM190" i="1"/>
  <c r="AV14" i="1"/>
  <c r="AX14" i="1" s="1"/>
  <c r="AT14" i="1"/>
  <c r="BN14" i="1"/>
  <c r="AM202" i="1"/>
  <c r="AV64" i="1"/>
  <c r="AX64" i="1" s="1"/>
  <c r="AT64" i="1"/>
  <c r="BN64" i="1"/>
  <c r="H16" i="4"/>
  <c r="AR111" i="1"/>
  <c r="AM111" i="1"/>
  <c r="AR106" i="1"/>
  <c r="AM106" i="1"/>
  <c r="AV18" i="1"/>
  <c r="AX18" i="1" s="1"/>
  <c r="AT18" i="1"/>
  <c r="BN18" i="1"/>
  <c r="AR119" i="1"/>
  <c r="AM119" i="1"/>
  <c r="AW85" i="1"/>
  <c r="AT45" i="1"/>
  <c r="BN45" i="1"/>
  <c r="AV45" i="1"/>
  <c r="AX45" i="1" s="1"/>
  <c r="AR201" i="1"/>
  <c r="AM201" i="1"/>
  <c r="AM215" i="1"/>
  <c r="AP135" i="1"/>
  <c r="AS135" i="1"/>
  <c r="BM38" i="1"/>
  <c r="AU38" i="1"/>
  <c r="AM179" i="1"/>
  <c r="AU150" i="1"/>
  <c r="BM150" i="1"/>
  <c r="AT219" i="1"/>
  <c r="AV219" i="1"/>
  <c r="AX219" i="1" s="1"/>
  <c r="BN219" i="1"/>
  <c r="B7" i="4"/>
  <c r="D7" i="4" s="1"/>
  <c r="E7" i="4" s="1"/>
  <c r="AM206" i="1"/>
  <c r="AR206" i="1"/>
  <c r="AR213" i="1"/>
  <c r="AM213" i="1"/>
  <c r="AR136" i="1"/>
  <c r="AM136" i="1"/>
  <c r="AV130" i="1"/>
  <c r="AX130" i="1" s="1"/>
  <c r="AT130" i="1"/>
  <c r="BN130" i="1"/>
  <c r="AM112" i="1"/>
  <c r="AR75" i="1"/>
  <c r="AM75" i="1"/>
  <c r="AU64" i="1"/>
  <c r="BM64" i="1"/>
  <c r="AW119" i="1"/>
  <c r="I15" i="4"/>
  <c r="AV225" i="1"/>
  <c r="AX225" i="1" s="1"/>
  <c r="AT225" i="1"/>
  <c r="BN225" i="1"/>
  <c r="AV137" i="1"/>
  <c r="AX137" i="1" s="1"/>
  <c r="AT137" i="1"/>
  <c r="BN137" i="1"/>
  <c r="F7" i="3"/>
  <c r="E17" i="3"/>
  <c r="AR43" i="1"/>
  <c r="AM43" i="1"/>
  <c r="Q4" i="4"/>
  <c r="R4" i="4" s="1"/>
  <c r="R5" i="4"/>
  <c r="AT172" i="1"/>
  <c r="AV172" i="1"/>
  <c r="AX172" i="1" s="1"/>
  <c r="BN172" i="1"/>
  <c r="BM149" i="1"/>
  <c r="AU149" i="1"/>
  <c r="AT39" i="1"/>
  <c r="AV39" i="1"/>
  <c r="AX39" i="1" s="1"/>
  <c r="BN39" i="1"/>
  <c r="AR169" i="1"/>
  <c r="AM169" i="1"/>
  <c r="AR154" i="1"/>
  <c r="AM154" i="1"/>
  <c r="AV168" i="1"/>
  <c r="AX168" i="1" s="1"/>
  <c r="BN168" i="1"/>
  <c r="AT168" i="1"/>
  <c r="AV52" i="1"/>
  <c r="AX52" i="1" s="1"/>
  <c r="AT52" i="1"/>
  <c r="BN52" i="1"/>
  <c r="AR120" i="1"/>
  <c r="AM120" i="1"/>
  <c r="AT73" i="1"/>
  <c r="BN73" i="1"/>
  <c r="AV73" i="1"/>
  <c r="AX73" i="1" s="1"/>
  <c r="AM117" i="1"/>
  <c r="AV84" i="1"/>
  <c r="AX84" i="1" s="1"/>
  <c r="AT84" i="1"/>
  <c r="BN84" i="1"/>
  <c r="AV22" i="1"/>
  <c r="AX22" i="1" s="1"/>
  <c r="AT22" i="1"/>
  <c r="BN22" i="1"/>
  <c r="AU137" i="1"/>
  <c r="BM137" i="1"/>
  <c r="AR114" i="1"/>
  <c r="AM114" i="1"/>
  <c r="AP216" i="1"/>
  <c r="AS216" i="1"/>
  <c r="BM44" i="1"/>
  <c r="AU44" i="1"/>
  <c r="AP163" i="1"/>
  <c r="AS163" i="1"/>
  <c r="AM74" i="1"/>
  <c r="AR74" i="1"/>
  <c r="AP41" i="1"/>
  <c r="AS41" i="1"/>
  <c r="AT175" i="1"/>
  <c r="AV175" i="1"/>
  <c r="AX175" i="1" s="1"/>
  <c r="BN175" i="1"/>
  <c r="AR125" i="1"/>
  <c r="AM125" i="1"/>
  <c r="AR161" i="1"/>
  <c r="AM161" i="1"/>
  <c r="AU168" i="1"/>
  <c r="BM168" i="1"/>
  <c r="BN9" i="1"/>
  <c r="AT9" i="1"/>
  <c r="AV9" i="1"/>
  <c r="AX9" i="1" s="1"/>
  <c r="AP112" i="1"/>
  <c r="AR112" i="1" s="1"/>
  <c r="AS112" i="1"/>
  <c r="BM76" i="1"/>
  <c r="AU76" i="1"/>
  <c r="AM95" i="1"/>
  <c r="AR95" i="1"/>
  <c r="AR144" i="1"/>
  <c r="AM144" i="1"/>
  <c r="AR72" i="1"/>
  <c r="AM72" i="1"/>
  <c r="BM66" i="1"/>
  <c r="AU66" i="1"/>
  <c r="AT208" i="1"/>
  <c r="AV208" i="1"/>
  <c r="AX208" i="1" s="1"/>
  <c r="BN208" i="1"/>
  <c r="BM130" i="1"/>
  <c r="AU130" i="1"/>
  <c r="AR160" i="1"/>
  <c r="AM160" i="1"/>
  <c r="AR58" i="1"/>
  <c r="AM58" i="1"/>
  <c r="AP160" i="1"/>
  <c r="AS160" i="1"/>
  <c r="AT48" i="1"/>
  <c r="AV48" i="1"/>
  <c r="AX48" i="1" s="1"/>
  <c r="BN48" i="1"/>
  <c r="AR25" i="1"/>
  <c r="AM25" i="1"/>
  <c r="H6" i="4"/>
  <c r="AP90" i="1"/>
  <c r="AS90" i="1"/>
  <c r="AV91" i="1"/>
  <c r="AX91" i="1" s="1"/>
  <c r="AT91" i="1"/>
  <c r="BN91" i="1"/>
  <c r="AR217" i="1"/>
  <c r="AM217" i="1"/>
  <c r="AM85" i="1"/>
  <c r="AR85" i="1"/>
  <c r="BM45" i="1"/>
  <c r="AU45" i="1"/>
  <c r="AP128" i="1"/>
  <c r="AS128" i="1"/>
  <c r="AV29" i="1"/>
  <c r="AX29" i="1" s="1"/>
  <c r="AT29" i="1"/>
  <c r="BN29" i="1"/>
  <c r="AV185" i="1"/>
  <c r="AX185" i="1" s="1"/>
  <c r="AT185" i="1"/>
  <c r="BN185" i="1"/>
  <c r="BM29" i="1"/>
  <c r="AU29" i="1"/>
  <c r="AU158" i="1"/>
  <c r="BM158" i="1"/>
  <c r="AT166" i="1"/>
  <c r="AV166" i="1"/>
  <c r="AX166" i="1" s="1"/>
  <c r="BN166" i="1"/>
  <c r="AR141" i="1"/>
  <c r="AM141" i="1"/>
  <c r="AV205" i="1"/>
  <c r="AX205" i="1" s="1"/>
  <c r="AT205" i="1"/>
  <c r="BN205" i="1"/>
  <c r="AT191" i="1"/>
  <c r="AV191" i="1"/>
  <c r="AX191" i="1" s="1"/>
  <c r="BN191" i="1"/>
  <c r="AM104" i="1"/>
  <c r="AP113" i="1"/>
  <c r="AS113" i="1"/>
  <c r="AP72" i="1"/>
  <c r="AS72" i="1"/>
  <c r="AV63" i="1"/>
  <c r="AX63" i="1" s="1"/>
  <c r="AT63" i="1"/>
  <c r="BN63" i="1"/>
  <c r="H14" i="4"/>
  <c r="AP57" i="1"/>
  <c r="AS57" i="1"/>
  <c r="AM17" i="1"/>
  <c r="AR221" i="1"/>
  <c r="AM221" i="1"/>
  <c r="AU19" i="1"/>
  <c r="BM19" i="1"/>
  <c r="AR101" i="1"/>
  <c r="AM101" i="1"/>
  <c r="BM13" i="1"/>
  <c r="AU13" i="1"/>
  <c r="AM71" i="1"/>
  <c r="AV218" i="1"/>
  <c r="AX218" i="1" s="1"/>
  <c r="BN218" i="1"/>
  <c r="AT218" i="1"/>
  <c r="H5" i="4"/>
  <c r="B10" i="4"/>
  <c r="D10" i="4" s="1"/>
  <c r="E10" i="4" s="1"/>
  <c r="AV123" i="1"/>
  <c r="AX123" i="1" s="1"/>
  <c r="AT123" i="1"/>
  <c r="BN123" i="1"/>
  <c r="AU18" i="1"/>
  <c r="BM18" i="1"/>
  <c r="AV38" i="1"/>
  <c r="AX38" i="1" s="1"/>
  <c r="BN38" i="1"/>
  <c r="AT38" i="1"/>
  <c r="AP141" i="1"/>
  <c r="AS141" i="1"/>
  <c r="AW69" i="1"/>
  <c r="AP34" i="1"/>
  <c r="AR34" i="1" s="1"/>
  <c r="AS34" i="1"/>
  <c r="AR135" i="1"/>
  <c r="AM135" i="1"/>
  <c r="AT152" i="1"/>
  <c r="AV152" i="1"/>
  <c r="AX152" i="1" s="1"/>
  <c r="BN152" i="1"/>
  <c r="BN28" i="1"/>
  <c r="AV28" i="1"/>
  <c r="AX28" i="1" s="1"/>
  <c r="AT28" i="1"/>
  <c r="AW72" i="1"/>
  <c r="AU173" i="1"/>
  <c r="BM173" i="1"/>
  <c r="AV209" i="1"/>
  <c r="AX209" i="1" s="1"/>
  <c r="AT209" i="1"/>
  <c r="BN209" i="1"/>
  <c r="AR88" i="1"/>
  <c r="AM88" i="1"/>
  <c r="AV212" i="1"/>
  <c r="AX212" i="1" s="1"/>
  <c r="BN212" i="1"/>
  <c r="AT212" i="1"/>
  <c r="AP144" i="1"/>
  <c r="AS144" i="1"/>
  <c r="I14" i="4" s="1"/>
  <c r="AM147" i="1"/>
  <c r="AT66" i="1"/>
  <c r="AV66" i="1"/>
  <c r="AX66" i="1" s="1"/>
  <c r="BN66" i="1"/>
  <c r="AU28" i="1"/>
  <c r="BM28" i="1"/>
  <c r="AM220" i="1"/>
  <c r="AV165" i="1"/>
  <c r="AX165" i="1" s="1"/>
  <c r="BN165" i="1"/>
  <c r="AT165" i="1"/>
  <c r="AU11" i="1"/>
  <c r="BM11" i="1"/>
  <c r="AU124" i="1"/>
  <c r="BM124" i="1"/>
  <c r="AV87" i="1"/>
  <c r="AX87" i="1" s="1"/>
  <c r="BN87" i="1"/>
  <c r="AT87" i="1"/>
  <c r="AM26" i="1"/>
  <c r="AR26" i="1"/>
  <c r="AV33" i="1"/>
  <c r="AX33" i="1" s="1"/>
  <c r="AT33" i="1"/>
  <c r="BN33" i="1"/>
  <c r="AR203" i="1"/>
  <c r="AM203" i="1"/>
  <c r="AP153" i="1"/>
  <c r="AR153" i="1" s="1"/>
  <c r="AS153" i="1"/>
  <c r="BM122" i="1"/>
  <c r="AU122" i="1"/>
  <c r="AT187" i="1"/>
  <c r="AV187" i="1"/>
  <c r="AX187" i="1" s="1"/>
  <c r="BN187" i="1"/>
  <c r="AR177" i="1"/>
  <c r="AM177" i="1"/>
  <c r="AV121" i="1"/>
  <c r="AX121" i="1" s="1"/>
  <c r="AT121" i="1"/>
  <c r="BN121" i="1"/>
  <c r="BM40" i="1"/>
  <c r="AU40" i="1"/>
  <c r="BM151" i="1"/>
  <c r="AU151" i="1"/>
  <c r="BM204" i="1"/>
  <c r="AU204" i="1"/>
  <c r="AM69" i="1"/>
  <c r="AM134" i="1"/>
  <c r="AV11" i="1"/>
  <c r="AX11" i="1" s="1"/>
  <c r="AT11" i="1"/>
  <c r="BN11" i="1"/>
  <c r="AU91" i="1"/>
  <c r="BM91" i="1"/>
  <c r="AR127" i="1"/>
  <c r="AM127" i="1"/>
  <c r="AT13" i="1"/>
  <c r="BN13" i="1"/>
  <c r="AV13" i="1"/>
  <c r="AX13" i="1" s="1"/>
  <c r="BM30" i="1"/>
  <c r="AU30" i="1"/>
  <c r="BM14" i="1"/>
  <c r="AU14" i="1"/>
  <c r="AT49" i="1"/>
  <c r="AV49" i="1"/>
  <c r="AX49" i="1" s="1"/>
  <c r="BN49" i="1"/>
  <c r="AR175" i="1"/>
  <c r="AM175" i="1"/>
  <c r="AR188" i="1"/>
  <c r="AM188" i="1"/>
  <c r="AV108" i="1"/>
  <c r="AX108" i="1" s="1"/>
  <c r="AT108" i="1"/>
  <c r="BN108" i="1"/>
  <c r="AV43" i="1"/>
  <c r="AX43" i="1" s="1"/>
  <c r="AT43" i="1"/>
  <c r="BN43" i="1"/>
  <c r="BM205" i="1"/>
  <c r="AU205" i="1"/>
  <c r="AV51" i="1"/>
  <c r="AX51" i="1" s="1"/>
  <c r="AT51" i="1"/>
  <c r="BN51" i="1"/>
  <c r="AV148" i="1"/>
  <c r="AX148" i="1" s="1"/>
  <c r="AT148" i="1"/>
  <c r="BN148" i="1"/>
  <c r="AM46" i="1"/>
  <c r="BM198" i="1"/>
  <c r="AU198" i="1"/>
  <c r="AR31" i="1"/>
  <c r="AM31" i="1"/>
  <c r="AP117" i="1"/>
  <c r="AR117" i="1" s="1"/>
  <c r="AS117" i="1"/>
  <c r="AR116" i="1"/>
  <c r="AM116" i="1"/>
  <c r="AM207" i="1"/>
  <c r="AU108" i="1"/>
  <c r="BM108" i="1"/>
  <c r="BM214" i="1"/>
  <c r="AU214" i="1"/>
  <c r="AV197" i="1"/>
  <c r="AX197" i="1" s="1"/>
  <c r="BN197" i="1"/>
  <c r="AT197" i="1"/>
  <c r="AP162" i="1"/>
  <c r="AS162" i="1"/>
  <c r="AP217" i="1"/>
  <c r="AS217" i="1"/>
  <c r="AV157" i="1"/>
  <c r="AX157" i="1" s="1"/>
  <c r="BN157" i="1"/>
  <c r="AT157" i="1"/>
  <c r="AV132" i="1"/>
  <c r="AX132" i="1" s="1"/>
  <c r="AT132" i="1"/>
  <c r="BN132" i="1"/>
  <c r="AT65" i="1"/>
  <c r="BN65" i="1"/>
  <c r="AV65" i="1"/>
  <c r="AX65" i="1" s="1"/>
  <c r="AT125" i="1"/>
  <c r="AV125" i="1"/>
  <c r="AX125" i="1" s="1"/>
  <c r="BN125" i="1"/>
  <c r="AP161" i="1"/>
  <c r="AS161" i="1"/>
  <c r="AU123" i="1"/>
  <c r="BM123" i="1"/>
  <c r="I8" i="4"/>
  <c r="AT12" i="1"/>
  <c r="BN12" i="1"/>
  <c r="AV12" i="1"/>
  <c r="AX12" i="1" s="1"/>
  <c r="AW126" i="1"/>
  <c r="AR82" i="1"/>
  <c r="AM82" i="1"/>
  <c r="AP155" i="1"/>
  <c r="AS155" i="1"/>
  <c r="AP54" i="1"/>
  <c r="AR54" i="1" s="1"/>
  <c r="AS54" i="1"/>
  <c r="AR99" i="1"/>
  <c r="AM99" i="1"/>
  <c r="AU212" i="1"/>
  <c r="BM212" i="1"/>
  <c r="AR162" i="1"/>
  <c r="AM162" i="1"/>
  <c r="AM155" i="1"/>
  <c r="AR155" i="1"/>
  <c r="AP62" i="1"/>
  <c r="AS62" i="1"/>
  <c r="AT127" i="1"/>
  <c r="AV127" i="1"/>
  <c r="AX127" i="1" s="1"/>
  <c r="BN127" i="1"/>
  <c r="AP104" i="1"/>
  <c r="AR104" i="1" s="1"/>
  <c r="AS104" i="1"/>
  <c r="AP46" i="1"/>
  <c r="AR46" i="1" s="1"/>
  <c r="AS46" i="1"/>
  <c r="AR16" i="1"/>
  <c r="AM16" i="1"/>
  <c r="AM153" i="1"/>
  <c r="AV50" i="1"/>
  <c r="AX50" i="1" s="1"/>
  <c r="AT50" i="1"/>
  <c r="BN50" i="1"/>
  <c r="AV129" i="1"/>
  <c r="AX129" i="1" s="1"/>
  <c r="AT129" i="1"/>
  <c r="BN129" i="1"/>
  <c r="AR41" i="1"/>
  <c r="AM41" i="1"/>
  <c r="AV76" i="1"/>
  <c r="AX76" i="1" s="1"/>
  <c r="BN76" i="1"/>
  <c r="AT76" i="1"/>
  <c r="BM185" i="1"/>
  <c r="AU185" i="1"/>
  <c r="AV159" i="1"/>
  <c r="AX159" i="1" s="1"/>
  <c r="BN159" i="1"/>
  <c r="AT159" i="1"/>
  <c r="AP17" i="1"/>
  <c r="AR17" i="1" s="1"/>
  <c r="AS17" i="1"/>
  <c r="AU67" i="1"/>
  <c r="BM67" i="1"/>
  <c r="AR87" i="1"/>
  <c r="AM87" i="1"/>
  <c r="AU73" i="1"/>
  <c r="BM73" i="1"/>
  <c r="AP179" i="1"/>
  <c r="AR179" i="1" s="1"/>
  <c r="AS179" i="1"/>
  <c r="AU103" i="1"/>
  <c r="BM103" i="1"/>
  <c r="BM97" i="1"/>
  <c r="AU97" i="1"/>
  <c r="AM59" i="1"/>
  <c r="AR59" i="1"/>
  <c r="I17" i="4"/>
  <c r="J17" i="4" s="1"/>
  <c r="K17" i="4" s="1"/>
  <c r="BN223" i="1"/>
  <c r="AT223" i="1"/>
  <c r="AV223" i="1"/>
  <c r="AX223" i="1" s="1"/>
  <c r="BM55" i="1"/>
  <c r="AU55" i="1"/>
  <c r="AU157" i="1"/>
  <c r="BM157" i="1"/>
  <c r="AU39" i="1"/>
  <c r="BM39" i="1"/>
  <c r="AV68" i="1"/>
  <c r="AX68" i="1" s="1"/>
  <c r="AT68" i="1"/>
  <c r="BN68" i="1"/>
  <c r="AP202" i="1"/>
  <c r="AR202" i="1" s="1"/>
  <c r="AS202" i="1"/>
  <c r="H10" i="4"/>
  <c r="AV82" i="1"/>
  <c r="AX82" i="1" s="1"/>
  <c r="AT82" i="1"/>
  <c r="BN82" i="1"/>
  <c r="AM196" i="1"/>
  <c r="AR196" i="1"/>
  <c r="H9" i="4"/>
  <c r="AP25" i="1"/>
  <c r="AS25" i="1"/>
  <c r="AP56" i="1"/>
  <c r="AR56" i="1" s="1"/>
  <c r="AS56" i="1"/>
  <c r="AT40" i="1"/>
  <c r="AV40" i="1"/>
  <c r="AX40" i="1" s="1"/>
  <c r="BN40" i="1"/>
  <c r="AT109" i="1"/>
  <c r="BN109" i="1"/>
  <c r="AV109" i="1"/>
  <c r="AX109" i="1" s="1"/>
  <c r="AR167" i="1"/>
  <c r="AM167" i="1"/>
  <c r="AP71" i="1"/>
  <c r="AR71" i="1" s="1"/>
  <c r="AS71" i="1"/>
  <c r="AW202" i="1"/>
  <c r="AR146" i="1"/>
  <c r="AM146" i="1"/>
  <c r="AU180" i="1"/>
  <c r="BM180" i="1"/>
  <c r="BM165" i="1"/>
  <c r="AU165" i="1"/>
  <c r="AP222" i="1"/>
  <c r="AS222" i="1"/>
  <c r="AV100" i="1"/>
  <c r="AX100" i="1" s="1"/>
  <c r="AT100" i="1"/>
  <c r="BN100" i="1"/>
  <c r="AU129" i="1"/>
  <c r="BM129" i="1"/>
  <c r="AW41" i="1"/>
  <c r="BM142" i="1"/>
  <c r="AU142" i="1"/>
  <c r="AW57" i="1"/>
  <c r="AR222" i="1"/>
  <c r="AM222" i="1"/>
  <c r="AT186" i="1"/>
  <c r="AV186" i="1"/>
  <c r="AX186" i="1" s="1"/>
  <c r="BN186" i="1"/>
  <c r="AM32" i="1"/>
  <c r="AU52" i="1"/>
  <c r="BM52" i="1"/>
  <c r="AR9" i="1"/>
  <c r="AR23" i="1"/>
  <c r="AM23" i="1"/>
  <c r="AR62" i="1"/>
  <c r="AM62" i="1"/>
  <c r="AR216" i="1"/>
  <c r="AM216" i="1"/>
  <c r="AR172" i="1"/>
  <c r="AM172" i="1"/>
  <c r="AU197" i="1"/>
  <c r="BM197" i="1"/>
  <c r="AU132" i="1"/>
  <c r="BM132" i="1"/>
  <c r="AU184" i="1"/>
  <c r="BM184" i="1"/>
  <c r="AV96" i="1"/>
  <c r="AX96" i="1" s="1"/>
  <c r="AT96" i="1"/>
  <c r="BN96" i="1"/>
  <c r="AR113" i="1"/>
  <c r="AM113" i="1"/>
  <c r="AU209" i="1"/>
  <c r="BM209" i="1"/>
  <c r="AT150" i="1"/>
  <c r="BN150" i="1"/>
  <c r="AV150" i="1"/>
  <c r="AX150" i="1" s="1"/>
  <c r="AV114" i="1"/>
  <c r="AX114" i="1" s="1"/>
  <c r="AT114" i="1"/>
  <c r="BN114" i="1"/>
  <c r="AV133" i="1"/>
  <c r="AX133" i="1" s="1"/>
  <c r="AT133" i="1"/>
  <c r="BN133" i="1"/>
  <c r="AR42" i="1"/>
  <c r="AM42" i="1"/>
  <c r="AR90" i="1"/>
  <c r="AM90" i="1"/>
  <c r="AV92" i="1"/>
  <c r="AX92" i="1" s="1"/>
  <c r="BN92" i="1"/>
  <c r="AT92" i="1"/>
  <c r="AP174" i="1"/>
  <c r="AR174" i="1" s="1"/>
  <c r="AS174" i="1"/>
  <c r="AR47" i="1"/>
  <c r="AM47" i="1"/>
  <c r="H12" i="4"/>
  <c r="J12" i="4" s="1"/>
  <c r="K12" i="4" s="1"/>
  <c r="AM34" i="1"/>
  <c r="AV195" i="1"/>
  <c r="AX195" i="1" s="1"/>
  <c r="AT195" i="1"/>
  <c r="BN195" i="1"/>
  <c r="AR128" i="1"/>
  <c r="AM128" i="1"/>
  <c r="AP215" i="1"/>
  <c r="AR215" i="1" s="1"/>
  <c r="AS215" i="1"/>
  <c r="AR121" i="1"/>
  <c r="AM121" i="1"/>
  <c r="AV37" i="1"/>
  <c r="AX37" i="1" s="1"/>
  <c r="BN37" i="1"/>
  <c r="AT37" i="1"/>
  <c r="AV158" i="1"/>
  <c r="AX158" i="1" s="1"/>
  <c r="BN158" i="1"/>
  <c r="AT158" i="1"/>
  <c r="AP207" i="1"/>
  <c r="AR207" i="1" s="1"/>
  <c r="AS207" i="1"/>
  <c r="AM54" i="1"/>
  <c r="AV149" i="1"/>
  <c r="AX149" i="1" s="1"/>
  <c r="AT149" i="1"/>
  <c r="BN149" i="1"/>
  <c r="BM200" i="1"/>
  <c r="AU200" i="1"/>
  <c r="AV55" i="1"/>
  <c r="AX55" i="1" s="1"/>
  <c r="AT55" i="1"/>
  <c r="BN55" i="1"/>
  <c r="AR191" i="1"/>
  <c r="AM191" i="1"/>
  <c r="AT30" i="1"/>
  <c r="BN30" i="1"/>
  <c r="AV30" i="1"/>
  <c r="AX30" i="1" s="1"/>
  <c r="AR166" i="1"/>
  <c r="AM166" i="1"/>
  <c r="AV83" i="1"/>
  <c r="AX83" i="1" s="1"/>
  <c r="BN83" i="1"/>
  <c r="AT83" i="1"/>
  <c r="AV142" i="1"/>
  <c r="AX142" i="1" s="1"/>
  <c r="AT142" i="1"/>
  <c r="BN142" i="1"/>
  <c r="H8" i="4"/>
  <c r="AU96" i="1"/>
  <c r="BM96" i="1"/>
  <c r="AR126" i="1"/>
  <c r="AM126" i="1"/>
  <c r="AT99" i="1"/>
  <c r="AV99" i="1"/>
  <c r="AX99" i="1" s="1"/>
  <c r="BN99" i="1"/>
  <c r="BM109" i="1"/>
  <c r="AU109" i="1"/>
  <c r="AW113" i="1"/>
  <c r="AP134" i="1"/>
  <c r="AR134" i="1" s="1"/>
  <c r="AS134" i="1"/>
  <c r="AU199" i="1"/>
  <c r="BM199" i="1"/>
  <c r="AW167" i="1"/>
  <c r="AR80" i="1"/>
  <c r="AM80" i="1"/>
  <c r="AR152" i="1"/>
  <c r="AM152" i="1"/>
  <c r="AR219" i="1"/>
  <c r="AM219" i="1"/>
  <c r="AW112" i="1"/>
  <c r="AR15" i="1"/>
  <c r="AM15" i="1"/>
  <c r="AV184" i="1"/>
  <c r="AX184" i="1" s="1"/>
  <c r="AT184" i="1"/>
  <c r="BN184" i="1"/>
  <c r="AW146" i="1"/>
  <c r="I16" i="4"/>
  <c r="AV180" i="1"/>
  <c r="AX180" i="1" s="1"/>
  <c r="AT180" i="1"/>
  <c r="BN180" i="1"/>
  <c r="AV151" i="1"/>
  <c r="AX151" i="1" s="1"/>
  <c r="AT151" i="1"/>
  <c r="BN151" i="1"/>
  <c r="AR194" i="1"/>
  <c r="AM194" i="1"/>
  <c r="AU50" i="1"/>
  <c r="BM50" i="1"/>
  <c r="AR48" i="1"/>
  <c r="AM48" i="1"/>
  <c r="AM163" i="1"/>
  <c r="AR163" i="1"/>
  <c r="AP220" i="1"/>
  <c r="AR220" i="1" s="1"/>
  <c r="AS220" i="1"/>
  <c r="AR193" i="1"/>
  <c r="AM193" i="1"/>
  <c r="BN103" i="1"/>
  <c r="AT103" i="1"/>
  <c r="AV103" i="1"/>
  <c r="AX103" i="1" s="1"/>
  <c r="AR57" i="1"/>
  <c r="AM57" i="1"/>
  <c r="AP147" i="1"/>
  <c r="AR147" i="1" s="1"/>
  <c r="AS147" i="1"/>
  <c r="AB2" i="1"/>
  <c r="AB4" i="1" s="1"/>
  <c r="I12" i="4"/>
  <c r="E15" i="7"/>
  <c r="C18" i="6"/>
  <c r="N9" i="8"/>
  <c r="N8" i="8"/>
  <c r="I13" i="7"/>
  <c r="AU46" i="1" l="1"/>
  <c r="BM46" i="1"/>
  <c r="AU71" i="1"/>
  <c r="BM71" i="1"/>
  <c r="AU207" i="1"/>
  <c r="BM207" i="1"/>
  <c r="BM104" i="1"/>
  <c r="AU104" i="1"/>
  <c r="BM56" i="1"/>
  <c r="AU56" i="1"/>
  <c r="AU17" i="1"/>
  <c r="BM17" i="1"/>
  <c r="BM215" i="1"/>
  <c r="AU215" i="1"/>
  <c r="BM54" i="1"/>
  <c r="AU54" i="1"/>
  <c r="BM112" i="1"/>
  <c r="AU112" i="1"/>
  <c r="AU117" i="1"/>
  <c r="BM117" i="1"/>
  <c r="AU179" i="1"/>
  <c r="BM179" i="1"/>
  <c r="AU147" i="1"/>
  <c r="BM147" i="1"/>
  <c r="AU34" i="1"/>
  <c r="BM34" i="1"/>
  <c r="AU220" i="1"/>
  <c r="BM220" i="1"/>
  <c r="AU202" i="1"/>
  <c r="BM202" i="1"/>
  <c r="AU153" i="1"/>
  <c r="BM153" i="1"/>
  <c r="AU69" i="1"/>
  <c r="BM69" i="1"/>
  <c r="AU32" i="1"/>
  <c r="BM32" i="1"/>
  <c r="BM134" i="1"/>
  <c r="AU134" i="1"/>
  <c r="BM174" i="1"/>
  <c r="AU174" i="1"/>
  <c r="H4" i="4"/>
  <c r="AT57" i="1"/>
  <c r="AV57" i="1"/>
  <c r="AX57" i="1" s="1"/>
  <c r="BN57" i="1"/>
  <c r="AT113" i="1"/>
  <c r="AV113" i="1"/>
  <c r="AX113" i="1" s="1"/>
  <c r="BN113" i="1"/>
  <c r="AU217" i="1"/>
  <c r="BM217" i="1"/>
  <c r="AU25" i="1"/>
  <c r="BM25" i="1"/>
  <c r="AT41" i="1"/>
  <c r="AV41" i="1"/>
  <c r="AX41" i="1" s="1"/>
  <c r="BN41" i="1"/>
  <c r="AT216" i="1"/>
  <c r="AV216" i="1"/>
  <c r="AX216" i="1" s="1"/>
  <c r="BN216" i="1"/>
  <c r="AU75" i="1"/>
  <c r="BM75" i="1"/>
  <c r="AT85" i="1"/>
  <c r="AV85" i="1"/>
  <c r="AX85" i="1" s="1"/>
  <c r="BN85" i="1"/>
  <c r="AV167" i="1"/>
  <c r="AX167" i="1" s="1"/>
  <c r="AT167" i="1"/>
  <c r="BN167" i="1"/>
  <c r="AU155" i="1"/>
  <c r="BM155" i="1"/>
  <c r="AV54" i="1"/>
  <c r="AX54" i="1" s="1"/>
  <c r="AT54" i="1"/>
  <c r="BN54" i="1"/>
  <c r="AU26" i="1"/>
  <c r="BM26" i="1"/>
  <c r="AU194" i="1"/>
  <c r="BM194" i="1"/>
  <c r="AU219" i="1"/>
  <c r="BM219" i="1"/>
  <c r="AV134" i="1"/>
  <c r="AX134" i="1" s="1"/>
  <c r="AT134" i="1"/>
  <c r="BN134" i="1"/>
  <c r="AU90" i="1"/>
  <c r="BM90" i="1"/>
  <c r="BM23" i="1"/>
  <c r="AU23" i="1"/>
  <c r="AT56" i="1"/>
  <c r="AV56" i="1"/>
  <c r="AX56" i="1" s="1"/>
  <c r="BN56" i="1"/>
  <c r="AV179" i="1"/>
  <c r="AX179" i="1" s="1"/>
  <c r="AT179" i="1"/>
  <c r="BN179" i="1"/>
  <c r="AT17" i="1"/>
  <c r="AV17" i="1"/>
  <c r="AX17" i="1" s="1"/>
  <c r="BN17" i="1"/>
  <c r="AV104" i="1"/>
  <c r="AX104" i="1" s="1"/>
  <c r="AT104" i="1"/>
  <c r="BN104" i="1"/>
  <c r="BM116" i="1"/>
  <c r="AU116" i="1"/>
  <c r="AU188" i="1"/>
  <c r="BM188" i="1"/>
  <c r="AT153" i="1"/>
  <c r="AV153" i="1"/>
  <c r="AX153" i="1" s="1"/>
  <c r="BN153" i="1"/>
  <c r="BM135" i="1"/>
  <c r="AU135" i="1"/>
  <c r="BM101" i="1"/>
  <c r="AU101" i="1"/>
  <c r="AT128" i="1"/>
  <c r="AV128" i="1"/>
  <c r="AX128" i="1" s="1"/>
  <c r="BN128" i="1"/>
  <c r="BM160" i="1"/>
  <c r="AU160" i="1"/>
  <c r="AV112" i="1"/>
  <c r="AX112" i="1" s="1"/>
  <c r="AT112" i="1"/>
  <c r="BN112" i="1"/>
  <c r="BM213" i="1"/>
  <c r="AU213" i="1"/>
  <c r="BM119" i="1"/>
  <c r="AU119" i="1"/>
  <c r="AU111" i="1"/>
  <c r="BM111" i="1"/>
  <c r="BM143" i="1"/>
  <c r="AU143" i="1"/>
  <c r="AT32" i="1"/>
  <c r="AV32" i="1"/>
  <c r="AX32" i="1" s="1"/>
  <c r="BN32" i="1"/>
  <c r="BM183" i="1"/>
  <c r="AU183" i="1"/>
  <c r="AV220" i="1"/>
  <c r="AX220" i="1" s="1"/>
  <c r="AT220" i="1"/>
  <c r="BN220" i="1"/>
  <c r="BM126" i="1"/>
  <c r="AU126" i="1"/>
  <c r="AV34" i="1"/>
  <c r="AX34" i="1" s="1"/>
  <c r="AT34" i="1"/>
  <c r="BN34" i="1"/>
  <c r="BM74" i="1"/>
  <c r="AU74" i="1"/>
  <c r="BM206" i="1"/>
  <c r="AU206" i="1"/>
  <c r="AU42" i="1"/>
  <c r="BM42" i="1"/>
  <c r="BM172" i="1"/>
  <c r="AU172" i="1"/>
  <c r="AU222" i="1"/>
  <c r="BM222" i="1"/>
  <c r="I9" i="4"/>
  <c r="J9" i="4" s="1"/>
  <c r="K9" i="4" s="1"/>
  <c r="AV25" i="1"/>
  <c r="AX25" i="1" s="1"/>
  <c r="AT25" i="1"/>
  <c r="BN25" i="1"/>
  <c r="J10" i="4"/>
  <c r="K10" i="4" s="1"/>
  <c r="AU59" i="1"/>
  <c r="BM59" i="1"/>
  <c r="AU162" i="1"/>
  <c r="BM162" i="1"/>
  <c r="AV217" i="1"/>
  <c r="AX217" i="1" s="1"/>
  <c r="AT217" i="1"/>
  <c r="BN217" i="1"/>
  <c r="AU175" i="1"/>
  <c r="BM175" i="1"/>
  <c r="BM177" i="1"/>
  <c r="AU177" i="1"/>
  <c r="BM88" i="1"/>
  <c r="AU88" i="1"/>
  <c r="AU141" i="1"/>
  <c r="BM141" i="1"/>
  <c r="AU114" i="1"/>
  <c r="BM114" i="1"/>
  <c r="AU120" i="1"/>
  <c r="BM120" i="1"/>
  <c r="AU154" i="1"/>
  <c r="BM154" i="1"/>
  <c r="BM201" i="1"/>
  <c r="AU201" i="1"/>
  <c r="I7" i="4"/>
  <c r="J7" i="4" s="1"/>
  <c r="K7" i="4" s="1"/>
  <c r="AV42" i="1"/>
  <c r="AX42" i="1" s="1"/>
  <c r="AT42" i="1"/>
  <c r="BN42" i="1"/>
  <c r="BM93" i="1"/>
  <c r="AU93" i="1"/>
  <c r="I13" i="4"/>
  <c r="J13" i="4" s="1"/>
  <c r="K13" i="4" s="1"/>
  <c r="B4" i="4"/>
  <c r="AU113" i="1"/>
  <c r="BM113" i="1"/>
  <c r="AU57" i="1"/>
  <c r="BM57" i="1"/>
  <c r="BM47" i="1"/>
  <c r="AU47" i="1"/>
  <c r="J14" i="4"/>
  <c r="K14" i="4" s="1"/>
  <c r="AU161" i="1"/>
  <c r="BM161" i="1"/>
  <c r="AU43" i="1"/>
  <c r="BM43" i="1"/>
  <c r="AT202" i="1"/>
  <c r="AV202" i="1"/>
  <c r="AX202" i="1" s="1"/>
  <c r="BN202" i="1"/>
  <c r="AU41" i="1"/>
  <c r="BM41" i="1"/>
  <c r="AU203" i="1"/>
  <c r="BM203" i="1"/>
  <c r="AV90" i="1"/>
  <c r="AX90" i="1" s="1"/>
  <c r="AT90" i="1"/>
  <c r="BN90" i="1"/>
  <c r="AT160" i="1"/>
  <c r="AV160" i="1"/>
  <c r="AX160" i="1" s="1"/>
  <c r="BN160" i="1"/>
  <c r="BM144" i="1"/>
  <c r="AU144" i="1"/>
  <c r="AU125" i="1"/>
  <c r="BM125" i="1"/>
  <c r="AV163" i="1"/>
  <c r="AX163" i="1" s="1"/>
  <c r="AT163" i="1"/>
  <c r="BN163" i="1"/>
  <c r="AU98" i="1"/>
  <c r="BM98" i="1"/>
  <c r="E5" i="4"/>
  <c r="D4" i="4"/>
  <c r="AU163" i="1"/>
  <c r="BM163" i="1"/>
  <c r="BM191" i="1"/>
  <c r="AU191" i="1"/>
  <c r="J16" i="4"/>
  <c r="K16" i="4" s="1"/>
  <c r="BM152" i="1"/>
  <c r="AU152" i="1"/>
  <c r="AV174" i="1"/>
  <c r="AX174" i="1" s="1"/>
  <c r="AT174" i="1"/>
  <c r="BN174" i="1"/>
  <c r="AT144" i="1"/>
  <c r="AV144" i="1"/>
  <c r="AX144" i="1" s="1"/>
  <c r="BN144" i="1"/>
  <c r="AU221" i="1"/>
  <c r="BM221" i="1"/>
  <c r="BM85" i="1"/>
  <c r="AU85" i="1"/>
  <c r="AU95" i="1"/>
  <c r="BM95" i="1"/>
  <c r="AU169" i="1"/>
  <c r="BM169" i="1"/>
  <c r="I6" i="4"/>
  <c r="AV126" i="1"/>
  <c r="AX126" i="1" s="1"/>
  <c r="AT126" i="1"/>
  <c r="BN126" i="1"/>
  <c r="AU208" i="1"/>
  <c r="BM208" i="1"/>
  <c r="AU186" i="1"/>
  <c r="BM186" i="1"/>
  <c r="AV117" i="1"/>
  <c r="AX117" i="1" s="1"/>
  <c r="AT117" i="1"/>
  <c r="BN117" i="1"/>
  <c r="AU72" i="1"/>
  <c r="BM72" i="1"/>
  <c r="BM48" i="1"/>
  <c r="AU48" i="1"/>
  <c r="BM80" i="1"/>
  <c r="AU80" i="1"/>
  <c r="I11" i="4"/>
  <c r="J11" i="4" s="1"/>
  <c r="K11" i="4" s="1"/>
  <c r="AU82" i="1"/>
  <c r="BM82" i="1"/>
  <c r="AV162" i="1"/>
  <c r="AX162" i="1" s="1"/>
  <c r="AT162" i="1"/>
  <c r="BN162" i="1"/>
  <c r="BM31" i="1"/>
  <c r="AU31" i="1"/>
  <c r="AT141" i="1"/>
  <c r="AV141" i="1"/>
  <c r="AX141" i="1" s="1"/>
  <c r="BN141" i="1"/>
  <c r="AV72" i="1"/>
  <c r="AX72" i="1" s="1"/>
  <c r="AT72" i="1"/>
  <c r="BN72" i="1"/>
  <c r="J6" i="4"/>
  <c r="K6" i="4" s="1"/>
  <c r="I5" i="4"/>
  <c r="J5" i="4" s="1"/>
  <c r="AT135" i="1"/>
  <c r="AV135" i="1"/>
  <c r="AX135" i="1" s="1"/>
  <c r="BN135" i="1"/>
  <c r="AT93" i="1"/>
  <c r="AV93" i="1"/>
  <c r="AX93" i="1" s="1"/>
  <c r="BN93" i="1"/>
  <c r="AU49" i="1"/>
  <c r="BM49" i="1"/>
  <c r="AV146" i="1"/>
  <c r="AX146" i="1" s="1"/>
  <c r="AT146" i="1"/>
  <c r="BN146" i="1"/>
  <c r="AT31" i="1"/>
  <c r="AV31" i="1"/>
  <c r="AX31" i="1" s="1"/>
  <c r="BN31" i="1"/>
  <c r="AU128" i="1"/>
  <c r="BM128" i="1"/>
  <c r="AU9" i="1"/>
  <c r="BM9" i="1"/>
  <c r="AU167" i="1"/>
  <c r="BM167" i="1"/>
  <c r="AV155" i="1"/>
  <c r="AX155" i="1" s="1"/>
  <c r="AT155" i="1"/>
  <c r="BN155" i="1"/>
  <c r="AU107" i="1"/>
  <c r="BM107" i="1"/>
  <c r="J8" i="4"/>
  <c r="K8" i="4" s="1"/>
  <c r="AU166" i="1"/>
  <c r="BM166" i="1"/>
  <c r="AT207" i="1"/>
  <c r="AV207" i="1"/>
  <c r="AX207" i="1" s="1"/>
  <c r="BN207" i="1"/>
  <c r="AU216" i="1"/>
  <c r="BM216" i="1"/>
  <c r="AU146" i="1"/>
  <c r="BM146" i="1"/>
  <c r="AT161" i="1"/>
  <c r="AV161" i="1"/>
  <c r="AX161" i="1" s="1"/>
  <c r="BN161" i="1"/>
  <c r="BM15" i="1"/>
  <c r="AU15" i="1"/>
  <c r="AU121" i="1"/>
  <c r="BM121" i="1"/>
  <c r="AV222" i="1"/>
  <c r="AX222" i="1" s="1"/>
  <c r="AT222" i="1"/>
  <c r="BN222" i="1"/>
  <c r="AU196" i="1"/>
  <c r="BM196" i="1"/>
  <c r="AU87" i="1"/>
  <c r="BM87" i="1"/>
  <c r="BM16" i="1"/>
  <c r="AU16" i="1"/>
  <c r="AV62" i="1"/>
  <c r="AX62" i="1" s="1"/>
  <c r="AT62" i="1"/>
  <c r="BN62" i="1"/>
  <c r="AV147" i="1"/>
  <c r="AX147" i="1" s="1"/>
  <c r="AT147" i="1"/>
  <c r="BN147" i="1"/>
  <c r="BM193" i="1"/>
  <c r="AU193" i="1"/>
  <c r="AT215" i="1"/>
  <c r="AV215" i="1"/>
  <c r="AX215" i="1" s="1"/>
  <c r="BN215" i="1"/>
  <c r="AU62" i="1"/>
  <c r="BM62" i="1"/>
  <c r="AV71" i="1"/>
  <c r="AX71" i="1" s="1"/>
  <c r="AT71" i="1"/>
  <c r="BN71" i="1"/>
  <c r="AV46" i="1"/>
  <c r="AX46" i="1" s="1"/>
  <c r="AT46" i="1"/>
  <c r="BN46" i="1"/>
  <c r="AU99" i="1"/>
  <c r="BM99" i="1"/>
  <c r="BM127" i="1"/>
  <c r="AU127" i="1"/>
  <c r="AU58" i="1"/>
  <c r="BM58" i="1"/>
  <c r="AU136" i="1"/>
  <c r="BM136" i="1"/>
  <c r="AU106" i="1"/>
  <c r="BM106" i="1"/>
  <c r="AT69" i="1"/>
  <c r="AV69" i="1"/>
  <c r="AX69" i="1" s="1"/>
  <c r="BN69" i="1"/>
  <c r="AT119" i="1"/>
  <c r="AV119" i="1"/>
  <c r="AX119" i="1" s="1"/>
  <c r="BN119" i="1"/>
  <c r="C20" i="6"/>
  <c r="N10" i="8"/>
  <c r="C27" i="6"/>
  <c r="B10" i="8" l="1"/>
  <c r="K5" i="4"/>
  <c r="J4" i="4"/>
  <c r="K4" i="4" s="1"/>
  <c r="I4" i="4"/>
  <c r="E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8" authorId="0" shapeId="0" xr:uid="{00000000-0006-0000-0000-000001000000}">
      <text>
        <r>
          <rPr>
            <sz val="11"/>
            <rFont val="Arial"/>
            <family val="2"/>
          </rPr>
          <t>Review Rating Guidelines above</t>
        </r>
      </text>
    </comment>
    <comment ref="BE8" authorId="0" shapeId="0" xr:uid="{00000000-0006-0000-0000-000002000000}">
      <text>
        <r>
          <rPr>
            <sz val="11"/>
            <rFont val="Arial"/>
            <family val="2"/>
          </rPr>
          <t xml:space="preserve">If no promo increase %, formula results with 0. Conditional formatting to make 0 in white font if not eligible for promo.
</t>
        </r>
      </text>
    </comment>
    <comment ref="BF8" authorId="0" shapeId="0" xr:uid="{00000000-0006-0000-0000-000003000000}">
      <text>
        <r>
          <rPr>
            <sz val="11"/>
            <rFont val="Arial"/>
            <family val="2"/>
          </rPr>
          <t xml:space="preserve">If no promo increase %, formula results with 0. Conditional formatting to make 0 in white font if not eligible for promo.
</t>
        </r>
      </text>
    </comment>
    <comment ref="BM8" authorId="0" shapeId="0" xr:uid="{00000000-0006-0000-0000-000004000000}">
      <text>
        <r>
          <rPr>
            <sz val="11"/>
            <rFont val="Arial"/>
            <family val="2"/>
          </rPr>
          <t>Merit Increase + Promo Increase + Current Salary in local currency</t>
        </r>
      </text>
    </comment>
    <comment ref="BN8" authorId="0" shapeId="0" xr:uid="{00000000-0006-0000-0000-000005000000}">
      <text>
        <r>
          <rPr>
            <sz val="11"/>
            <rFont val="Arial"/>
            <family val="2"/>
          </rPr>
          <t xml:space="preserve">Merit Increase + Promo Increase + Current Salary in USD
</t>
        </r>
      </text>
    </comment>
    <comment ref="BR8" authorId="0" shapeId="0" xr:uid="{00000000-0006-0000-0000-000006000000}">
      <text>
        <r>
          <rPr>
            <sz val="11"/>
            <rFont val="Arial"/>
            <family val="2"/>
          </rPr>
          <t>Based on 2023 hire date. Calculated outside of SecureSheet - copied/pasted values. Target bonus amounts are calculated using this prorated target %.</t>
        </r>
      </text>
    </comment>
    <comment ref="BS8" authorId="0" shapeId="0" xr:uid="{00000000-0006-0000-0000-000007000000}">
      <text>
        <r>
          <rPr>
            <sz val="11"/>
            <rFont val="Arial"/>
            <family val="2"/>
          </rPr>
          <t xml:space="preserve">Local current salary x prorated target %
</t>
        </r>
      </text>
    </comment>
    <comment ref="BT8" authorId="0" shapeId="0" xr:uid="{00000000-0006-0000-0000-000008000000}">
      <text>
        <r>
          <rPr>
            <sz val="11"/>
            <rFont val="Arial"/>
            <family val="2"/>
          </rPr>
          <t>USD current salary x prorated target %</t>
        </r>
      </text>
    </comment>
    <comment ref="BV8" authorId="0" shapeId="0" xr:uid="{00000000-0006-0000-0000-000009000000}">
      <text>
        <r>
          <rPr>
            <sz val="11"/>
            <rFont val="Arial"/>
            <family val="2"/>
          </rPr>
          <t>If eligible: Prorated target amount (local) x Individual Multiplier</t>
        </r>
      </text>
    </comment>
    <comment ref="BW8" authorId="0" shapeId="0" xr:uid="{00000000-0006-0000-0000-00000A000000}">
      <text>
        <r>
          <rPr>
            <sz val="11"/>
            <rFont val="Arial"/>
            <family val="2"/>
          </rPr>
          <t xml:space="preserve">If eligible: Prorated target amount (USD) x Individual Multiplier
</t>
        </r>
      </text>
    </comment>
  </commentList>
</comments>
</file>

<file path=xl/sharedStrings.xml><?xml version="1.0" encoding="utf-8"?>
<sst xmlns="http://schemas.openxmlformats.org/spreadsheetml/2006/main" count="6179" uniqueCount="1011">
  <si>
    <t>This is an example SecureSheet for illustrative purposes only.</t>
  </si>
  <si>
    <t>Merit WorkFlow Status (Manager)</t>
  </si>
  <si>
    <t>Available Market Adj</t>
  </si>
  <si>
    <t>Guidelines</t>
  </si>
  <si>
    <t>Available Merit Pool</t>
  </si>
  <si>
    <t>schart/Chart1/400/80:summary</t>
  </si>
  <si>
    <t>Available Bonus Pool</t>
  </si>
  <si>
    <t>Available LTI Pool</t>
  </si>
  <si>
    <t>For Summary Chart</t>
  </si>
  <si>
    <t>Verify User Views Detail Instructions:</t>
  </si>
  <si>
    <t>MeritBonus:G</t>
  </si>
  <si>
    <t>End</t>
  </si>
  <si>
    <t>Total Eligible:</t>
  </si>
  <si>
    <t>Allowance</t>
  </si>
  <si>
    <t>Exceeds (2.5%-6.0%)</t>
  </si>
  <si>
    <t>Budget</t>
  </si>
  <si>
    <t>Amount</t>
  </si>
  <si>
    <t>vexit/recalc/Recalc</t>
  </si>
  <si>
    <t>sfile/docs/Customer Success Example ACME User Instructions.pdf/User Instructions</t>
  </si>
  <si>
    <t>Total Approved:</t>
  </si>
  <si>
    <t>Increases</t>
  </si>
  <si>
    <t>Meets (1.0%-2.5%)</t>
  </si>
  <si>
    <t>Over/Under</t>
  </si>
  <si>
    <t>https://www.securesheet-cloud.com/help/PDFs/NavigateSecureSheet.mp4/DT=Navigate in SecureSheet Video</t>
  </si>
  <si>
    <t>Total In Process:</t>
  </si>
  <si>
    <t>Below (0%)</t>
  </si>
  <si>
    <t>SecureSheet Reserved Columns For Statements/Etc</t>
  </si>
  <si>
    <t>Data Validation Stop Entry Example</t>
  </si>
  <si>
    <t>Helper columns for Stop Entry Data Validation</t>
  </si>
  <si>
    <t>Dependent Dropdown Example</t>
  </si>
  <si>
    <t>Requiring a Comment Using a Data Validation Example</t>
  </si>
  <si>
    <t>Helper column for Comment Data Validation</t>
  </si>
  <si>
    <t>Management Hierarchy for View Setup</t>
  </si>
  <si>
    <t>Row Locking Logic</t>
  </si>
  <si>
    <t>Locking/Unlocking Cells through Approval Hierarchy</t>
  </si>
  <si>
    <t>Enter % Increase OR $ Increase - NOT both</t>
  </si>
  <si>
    <t>Comment Required if Individiual Performance Multiplier is greater than 100%</t>
  </si>
  <si>
    <t>Enter $</t>
  </si>
  <si>
    <t>Merit</t>
  </si>
  <si>
    <t>Promotion</t>
  </si>
  <si>
    <t>Bonus</t>
  </si>
  <si>
    <t>ID</t>
  </si>
  <si>
    <t>Print Statement</t>
  </si>
  <si>
    <t>Form</t>
  </si>
  <si>
    <t>PDF Name</t>
  </si>
  <si>
    <t>Reserved</t>
  </si>
  <si>
    <t>Employee ID</t>
  </si>
  <si>
    <t>Name</t>
  </si>
  <si>
    <t>Job Family</t>
  </si>
  <si>
    <t>Title</t>
  </si>
  <si>
    <t>Region</t>
  </si>
  <si>
    <t>Location</t>
  </si>
  <si>
    <t>Manager ID</t>
  </si>
  <si>
    <t>Manager</t>
  </si>
  <si>
    <t>Status</t>
  </si>
  <si>
    <t>Hire Date</t>
  </si>
  <si>
    <t>Min $ (USD)</t>
  </si>
  <si>
    <t>Mid $ (USD)</t>
  </si>
  <si>
    <t>Max $ (USD)</t>
  </si>
  <si>
    <t>Currency</t>
  </si>
  <si>
    <t>Current Salary (Local)</t>
  </si>
  <si>
    <t>Current Salary (USD)</t>
  </si>
  <si>
    <t>Current Compa Ratio</t>
  </si>
  <si>
    <t>Market Gap</t>
  </si>
  <si>
    <t>Eligible for Market Increase</t>
  </si>
  <si>
    <t>Market Adj Budget %</t>
  </si>
  <si>
    <t>Market Adj (Local) Budget</t>
  </si>
  <si>
    <t>Market Adj $ (USD) Budget</t>
  </si>
  <si>
    <t>Market Adj $ (USD)</t>
  </si>
  <si>
    <t>Market Adj (Local)</t>
  </si>
  <si>
    <t>Eligible For Merit</t>
  </si>
  <si>
    <t>Merit Budget (Local)</t>
  </si>
  <si>
    <t>Merit Budget $ (USD)</t>
  </si>
  <si>
    <t>Rating</t>
  </si>
  <si>
    <t>% Increase</t>
  </si>
  <si>
    <t>$ Increase (USD)</t>
  </si>
  <si>
    <t>% Increase Applied</t>
  </si>
  <si>
    <t>Proposed Merit Increase (Local)</t>
  </si>
  <si>
    <t>Proposed Merit Increase (USD)</t>
  </si>
  <si>
    <t>Proposed New Salary (Local) - Adj+Merit Increase</t>
  </si>
  <si>
    <t>Proposed New Salary (USD) - Adj+Merit Increase</t>
  </si>
  <si>
    <t>Over Max?</t>
  </si>
  <si>
    <t>Amount as Lump Sum (Local)</t>
  </si>
  <si>
    <t>Amount as Lump Sum (USD)</t>
  </si>
  <si>
    <t>Actual Merit Increase (Local)</t>
  </si>
  <si>
    <t>Actual Merit Increase (USD)</t>
  </si>
  <si>
    <t>Actual Merit % Increase</t>
  </si>
  <si>
    <t>New Salary (Local) Merit + Market Adjustment</t>
  </si>
  <si>
    <t>New Salary (USD) Merit + Market Adjustment</t>
  </si>
  <si>
    <t>Comp Comments</t>
  </si>
  <si>
    <t>New Compa Ratio</t>
  </si>
  <si>
    <t>Both $ and % Entered or outside of guidelines (1 means yes)</t>
  </si>
  <si>
    <t>Is Valid Entry</t>
  </si>
  <si>
    <t>Eligible for Promotion</t>
  </si>
  <si>
    <t>Department</t>
  </si>
  <si>
    <t>Promo Increase %</t>
  </si>
  <si>
    <t>Promo Increase $ (Local)</t>
  </si>
  <si>
    <t>Promo Increase $ (USD)</t>
  </si>
  <si>
    <t>Bonus Eligibility?</t>
  </si>
  <si>
    <t>New Bonus Target % (if eligible)</t>
  </si>
  <si>
    <t>New LTI Target % (if eligible)</t>
  </si>
  <si>
    <t>New Min (USD)</t>
  </si>
  <si>
    <t>New Mid (USD)</t>
  </si>
  <si>
    <t>New Max (USD)</t>
  </si>
  <si>
    <t>New Salary (Local)</t>
  </si>
  <si>
    <t>New Salary (USD)</t>
  </si>
  <si>
    <t>Eligible For Bonus</t>
  </si>
  <si>
    <t>Target Bonus %</t>
  </si>
  <si>
    <t>Prorated (Y/N)</t>
  </si>
  <si>
    <t>Target Bonus % After Proration by Hire Date</t>
  </si>
  <si>
    <t>Prorated Target Bonus (Local)</t>
  </si>
  <si>
    <t>Prorated Target Bonus (USD)</t>
  </si>
  <si>
    <t>Individual Performance Multiplier %</t>
  </si>
  <si>
    <t>Bonus Payout Amount (Local)</t>
  </si>
  <si>
    <t>Bonus Payout Amount (USD)</t>
  </si>
  <si>
    <t>Comments</t>
  </si>
  <si>
    <t>Helper - Comment Required if Individual Performance over 100%</t>
  </si>
  <si>
    <t>Eligible for LTI</t>
  </si>
  <si>
    <t>LTI Target %</t>
  </si>
  <si>
    <t>LTI Target $ (USD)</t>
  </si>
  <si>
    <t>LTI Awarded $ (USD)</t>
  </si>
  <si>
    <t>Rating For Statement</t>
  </si>
  <si>
    <t>Manager Submit</t>
  </si>
  <si>
    <t>2nd Level Approval</t>
  </si>
  <si>
    <t>3rd Level Approval</t>
  </si>
  <si>
    <t>4th Level Approval</t>
  </si>
  <si>
    <t>Final Approval</t>
  </si>
  <si>
    <t>2nd Level Approver ID</t>
  </si>
  <si>
    <t>2nd Level Approver Name</t>
  </si>
  <si>
    <t>3rd Level Approver ID</t>
  </si>
  <si>
    <t>3rd Level Approver Name</t>
  </si>
  <si>
    <t>4th Level Approver ID</t>
  </si>
  <si>
    <t>4th Level Approver Name</t>
  </si>
  <si>
    <t>Final Approver ID</t>
  </si>
  <si>
    <t>Final Approver Name</t>
  </si>
  <si>
    <t>HRBP 1 ID</t>
  </si>
  <si>
    <t>HRBP 1 Name</t>
  </si>
  <si>
    <t>HRBP 2 ID</t>
  </si>
  <si>
    <t>HRBP 2 Name</t>
  </si>
  <si>
    <t>Concatenate HRBP IDs</t>
  </si>
  <si>
    <t>Statement Type</t>
  </si>
  <si>
    <t>Lock Cells</t>
  </si>
  <si>
    <t>Manager Locking</t>
  </si>
  <si>
    <t>2nd Level Approval Locking</t>
  </si>
  <si>
    <t>3rd Level Approval Locking</t>
  </si>
  <si>
    <t>4th Level Approval Locking</t>
  </si>
  <si>
    <t>Final Level Approval Locking</t>
  </si>
  <si>
    <t>First Level Approvable</t>
  </si>
  <si>
    <t>Statement2</t>
  </si>
  <si>
    <t>Jimmy Mcmulin</t>
  </si>
  <si>
    <t>Accounting</t>
  </si>
  <si>
    <t>Sr Accounts Payable Specialist</t>
  </si>
  <si>
    <t>East</t>
  </si>
  <si>
    <t>Boston</t>
  </si>
  <si>
    <t>Todd Falco</t>
  </si>
  <si>
    <t>Active</t>
  </si>
  <si>
    <t>AUD</t>
  </si>
  <si>
    <t>Yes</t>
  </si>
  <si>
    <t>Exceeds</t>
  </si>
  <si>
    <t>No</t>
  </si>
  <si>
    <t>Submitted</t>
  </si>
  <si>
    <t>Gina Hernandez</t>
  </si>
  <si>
    <t>Erika Bettino</t>
  </si>
  <si>
    <t>Roy Anthony</t>
  </si>
  <si>
    <t>67890</t>
  </si>
  <si>
    <t>Fran Doe</t>
  </si>
  <si>
    <t>99485</t>
  </si>
  <si>
    <t>Vinnie Ambrosi</t>
  </si>
  <si>
    <t>Statement</t>
  </si>
  <si>
    <t>Jack Watts</t>
  </si>
  <si>
    <t>Accounting Associate</t>
  </si>
  <si>
    <t>USD</t>
  </si>
  <si>
    <t>Below</t>
  </si>
  <si>
    <t>Business Development</t>
  </si>
  <si>
    <t>Sr Manager, Mktg Analytics</t>
  </si>
  <si>
    <t>Juan Hamann</t>
  </si>
  <si>
    <t>Invoice Analyst</t>
  </si>
  <si>
    <t>Allison Felton</t>
  </si>
  <si>
    <t>Meets</t>
  </si>
  <si>
    <t>90876</t>
  </si>
  <si>
    <t>Robert Smith</t>
  </si>
  <si>
    <t>Craig Decarlo</t>
  </si>
  <si>
    <t>Payroll Specialist</t>
  </si>
  <si>
    <t>Martin Chrisman</t>
  </si>
  <si>
    <t>Payroll Analyst</t>
  </si>
  <si>
    <t>Ellen Albanese</t>
  </si>
  <si>
    <t>Accountant</t>
  </si>
  <si>
    <t>Grace Henke</t>
  </si>
  <si>
    <t>Business Analyst</t>
  </si>
  <si>
    <t>Ronald Holcomb</t>
  </si>
  <si>
    <t>Manager, Business Development</t>
  </si>
  <si>
    <t>Myrtle Jester</t>
  </si>
  <si>
    <t>Sr Manager, Business Development</t>
  </si>
  <si>
    <t>Philadelphia</t>
  </si>
  <si>
    <t>Jacob Caruthers</t>
  </si>
  <si>
    <t>Legal</t>
  </si>
  <si>
    <t>Paralegal</t>
  </si>
  <si>
    <t>John Jaworski</t>
  </si>
  <si>
    <t>Robert Boatwright</t>
  </si>
  <si>
    <t>36523</t>
  </si>
  <si>
    <t>Lainey Daniel</t>
  </si>
  <si>
    <t>Norma Magnuson</t>
  </si>
  <si>
    <t>Paula Geller</t>
  </si>
  <si>
    <t>Mamie Townley</t>
  </si>
  <si>
    <t>Albert Gillen</t>
  </si>
  <si>
    <t>Supervisor, Accounts Payable</t>
  </si>
  <si>
    <t>Danny Twyman</t>
  </si>
  <si>
    <t>Ernest Stauffer</t>
  </si>
  <si>
    <t>South</t>
  </si>
  <si>
    <t>Raleigh</t>
  </si>
  <si>
    <t>Johnny Shay</t>
  </si>
  <si>
    <t>Atlanta</t>
  </si>
  <si>
    <t>Assisted in covering  while colleague was on leave</t>
  </si>
  <si>
    <t>Stella Sherlock</t>
  </si>
  <si>
    <t>Sales</t>
  </si>
  <si>
    <t>Account Manager</t>
  </si>
  <si>
    <t>Jason Pina</t>
  </si>
  <si>
    <t>Manager, Regional Sales</t>
  </si>
  <si>
    <t>Stephen Alleman</t>
  </si>
  <si>
    <t>Supervisor, Sales Operations</t>
  </si>
  <si>
    <t>West</t>
  </si>
  <si>
    <t>Los Angeles</t>
  </si>
  <si>
    <t>Antonio Lasher</t>
  </si>
  <si>
    <t>Manager, Sales Operations</t>
  </si>
  <si>
    <t>Regina Vanhouten</t>
  </si>
  <si>
    <t>Territory Manager</t>
  </si>
  <si>
    <t>Dennis Bowman</t>
  </si>
  <si>
    <t>Sr Paralegal</t>
  </si>
  <si>
    <t>Wendy Solberg</t>
  </si>
  <si>
    <t>Compliance Analyst</t>
  </si>
  <si>
    <t>Jane Hendrick</t>
  </si>
  <si>
    <t>Compliance Analyst, Customs</t>
  </si>
  <si>
    <t>Christopher Abram</t>
  </si>
  <si>
    <t>Tanya Westphal</t>
  </si>
  <si>
    <t>Compliance Analyst, Factory</t>
  </si>
  <si>
    <t>Megan Burnette</t>
  </si>
  <si>
    <t>Sr Compliance Analyst</t>
  </si>
  <si>
    <t>Great job</t>
  </si>
  <si>
    <t>Janet Anthony</t>
  </si>
  <si>
    <t>Sr Compliance Analyst, Customs</t>
  </si>
  <si>
    <t>Peggy Case</t>
  </si>
  <si>
    <t>Thomas Fuhrman</t>
  </si>
  <si>
    <t>Manager, Compliance</t>
  </si>
  <si>
    <t>Rosemary Rayborn</t>
  </si>
  <si>
    <t>Sustainability Analyst</t>
  </si>
  <si>
    <t>Monica Nieves</t>
  </si>
  <si>
    <t>Manager, Sustainability</t>
  </si>
  <si>
    <t>Gerald Halliday</t>
  </si>
  <si>
    <t>Strategic Account Manager</t>
  </si>
  <si>
    <t>Katherine Rutledge</t>
  </si>
  <si>
    <t>HR</t>
  </si>
  <si>
    <t>HR Assistant</t>
  </si>
  <si>
    <t>Midwest</t>
  </si>
  <si>
    <t>Chicago</t>
  </si>
  <si>
    <t>Steven Van</t>
  </si>
  <si>
    <t>Eugene Coe</t>
  </si>
  <si>
    <t>86672</t>
  </si>
  <si>
    <t>Jude Portelli</t>
  </si>
  <si>
    <t>Jodi Hammons</t>
  </si>
  <si>
    <t>Manager, Customs Compliance</t>
  </si>
  <si>
    <t>Margarita Rosas</t>
  </si>
  <si>
    <t>Accounts Payable Coordinator</t>
  </si>
  <si>
    <t>Gerald Gant</t>
  </si>
  <si>
    <t>Accounts Payable Specialist</t>
  </si>
  <si>
    <t>Kristine Asberry</t>
  </si>
  <si>
    <t>Larry Lapp</t>
  </si>
  <si>
    <t>Sr Strategic Account Manager</t>
  </si>
  <si>
    <t>Marilyn Wolfenbarger</t>
  </si>
  <si>
    <t>Sr Manager, Sales Operations</t>
  </si>
  <si>
    <t>Robert Cruz</t>
  </si>
  <si>
    <t>Manager, Sales Training</t>
  </si>
  <si>
    <t>Luis Palacio</t>
  </si>
  <si>
    <t>Sr Manager, Sales Training</t>
  </si>
  <si>
    <t>Allen Huber</t>
  </si>
  <si>
    <t>Norman Corbitt</t>
  </si>
  <si>
    <t>Ralph Roller</t>
  </si>
  <si>
    <t>Sr Manager, Channel Sales</t>
  </si>
  <si>
    <t>Luis Lai</t>
  </si>
  <si>
    <t>Gary Whitehurst</t>
  </si>
  <si>
    <t>Reporting Specialist</t>
  </si>
  <si>
    <t>Joshua Parton</t>
  </si>
  <si>
    <t>Payroll Administrator</t>
  </si>
  <si>
    <t>Brian Okelley</t>
  </si>
  <si>
    <t>National Account Manager</t>
  </si>
  <si>
    <t>Chad Mclellan</t>
  </si>
  <si>
    <t>Suzanne Witt</t>
  </si>
  <si>
    <t>HR Coordinator</t>
  </si>
  <si>
    <t>Leonard Schell</t>
  </si>
  <si>
    <t>Tara Eddy</t>
  </si>
  <si>
    <t>HR Specialist</t>
  </si>
  <si>
    <t>Wayne Wilson</t>
  </si>
  <si>
    <t>HR Specialist II</t>
  </si>
  <si>
    <t>Joann Worsham</t>
  </si>
  <si>
    <t>Manager, Factory Compliance</t>
  </si>
  <si>
    <t>Clarence Maya</t>
  </si>
  <si>
    <t>Molly Aucoin</t>
  </si>
  <si>
    <t>Credit</t>
  </si>
  <si>
    <t>Sr Manager, Credit</t>
  </si>
  <si>
    <t>Patsy Bey</t>
  </si>
  <si>
    <t>Eric Barros</t>
  </si>
  <si>
    <t>Paul Raley</t>
  </si>
  <si>
    <t>Leonard Lennox</t>
  </si>
  <si>
    <t>Aaron Slone</t>
  </si>
  <si>
    <t>William Drye</t>
  </si>
  <si>
    <t>Credit Operations Assistant</t>
  </si>
  <si>
    <t>Hazel Moreno</t>
  </si>
  <si>
    <t>Angelica Black</t>
  </si>
  <si>
    <t>Jeffrey Mcgill</t>
  </si>
  <si>
    <t>Sr CRM Analyst</t>
  </si>
  <si>
    <t>Eric Lynch</t>
  </si>
  <si>
    <t>Benefits Assistant</t>
  </si>
  <si>
    <t>Cora Lunn</t>
  </si>
  <si>
    <t>Benefits Coordinator</t>
  </si>
  <si>
    <t>Susan Sommerville</t>
  </si>
  <si>
    <t>Benefits Specialist</t>
  </si>
  <si>
    <t>Heidi Mertens</t>
  </si>
  <si>
    <t>Credit Analyst</t>
  </si>
  <si>
    <t>Cindy Brumley</t>
  </si>
  <si>
    <t>Benefits Administrator</t>
  </si>
  <si>
    <t>Cleveland</t>
  </si>
  <si>
    <t>Jack Falkner</t>
  </si>
  <si>
    <t>Christopher Pulido</t>
  </si>
  <si>
    <t>Recruiting Coordinator</t>
  </si>
  <si>
    <t>Manuel Yi</t>
  </si>
  <si>
    <t>Manager, Recruiting</t>
  </si>
  <si>
    <t>Bessie Dorsett</t>
  </si>
  <si>
    <t>Compensation Specialist</t>
  </si>
  <si>
    <t>Audrey Fields</t>
  </si>
  <si>
    <t>Seattle</t>
  </si>
  <si>
    <t>Penny Lingle</t>
  </si>
  <si>
    <t>Supervisor, Credit</t>
  </si>
  <si>
    <t>Pam Ivie</t>
  </si>
  <si>
    <t>Compensation Analyst</t>
  </si>
  <si>
    <t>Detroit</t>
  </si>
  <si>
    <t>Maxine Mceachern</t>
  </si>
  <si>
    <t>Terry Mansour</t>
  </si>
  <si>
    <t>Workers' Comp Specialist</t>
  </si>
  <si>
    <t>Curtis Marble</t>
  </si>
  <si>
    <t>Manager, Credit</t>
  </si>
  <si>
    <t>Angela Lacey</t>
  </si>
  <si>
    <t>Stanley Tolle</t>
  </si>
  <si>
    <t>Finance</t>
  </si>
  <si>
    <t>Sr Financial Analyst</t>
  </si>
  <si>
    <t>Chad Mcginley</t>
  </si>
  <si>
    <t>Sr Manager, Finance</t>
  </si>
  <si>
    <t>Joann Bertram</t>
  </si>
  <si>
    <t>Lawrence Heim</t>
  </si>
  <si>
    <t>John Montgomery</t>
  </si>
  <si>
    <t>Roger Phinney</t>
  </si>
  <si>
    <t>Jeff Bashaw</t>
  </si>
  <si>
    <t>Maryann Salgado</t>
  </si>
  <si>
    <t>New Accounts Representative</t>
  </si>
  <si>
    <t>Great year</t>
  </si>
  <si>
    <t>Robert Stackhouse</t>
  </si>
  <si>
    <t>Facilities Maintenance II</t>
  </si>
  <si>
    <t>Geraldine Beck</t>
  </si>
  <si>
    <t>Emily Conner</t>
  </si>
  <si>
    <t>Manager, Facilities</t>
  </si>
  <si>
    <t>Sean Culpepper</t>
  </si>
  <si>
    <t>Eva Hoch</t>
  </si>
  <si>
    <t>Richard Delong</t>
  </si>
  <si>
    <t>Manager, Human Resources</t>
  </si>
  <si>
    <t>Renee Moeller</t>
  </si>
  <si>
    <t>Amber Neel</t>
  </si>
  <si>
    <t>Dale Nunley</t>
  </si>
  <si>
    <t>Manager, Learning &amp; Development</t>
  </si>
  <si>
    <t>Raymond Lankford</t>
  </si>
  <si>
    <t>IT</t>
  </si>
  <si>
    <t>Support Technician I</t>
  </si>
  <si>
    <t>Edward Aponte</t>
  </si>
  <si>
    <t>Support Technician II</t>
  </si>
  <si>
    <t>Alicia Hosey</t>
  </si>
  <si>
    <t>Support Technician III</t>
  </si>
  <si>
    <t>Evelyn Barbosa</t>
  </si>
  <si>
    <t>Customer Support I</t>
  </si>
  <si>
    <t>Rachel Loveland</t>
  </si>
  <si>
    <t>Customer Support II</t>
  </si>
  <si>
    <t>Tamara Mackey</t>
  </si>
  <si>
    <t>Customer Support III</t>
  </si>
  <si>
    <t>Wendy List</t>
  </si>
  <si>
    <t>Integration Support I</t>
  </si>
  <si>
    <t>Julie Inkster</t>
  </si>
  <si>
    <t>Integration Support II</t>
  </si>
  <si>
    <t>Erika Friday</t>
  </si>
  <si>
    <t>Integration Support III</t>
  </si>
  <si>
    <t>Blanche Bixler</t>
  </si>
  <si>
    <t>IT Purchasing Coordinator</t>
  </si>
  <si>
    <t>Jeremy Thorp</t>
  </si>
  <si>
    <t>Supervisor, Sales Support</t>
  </si>
  <si>
    <t>Valerie Reinert</t>
  </si>
  <si>
    <t>IT Purchasing Specialist</t>
  </si>
  <si>
    <t>Erica Overby</t>
  </si>
  <si>
    <t>Application Support Specialist</t>
  </si>
  <si>
    <t>Brenda Milford</t>
  </si>
  <si>
    <t>Manager, App Support</t>
  </si>
  <si>
    <t>Kay Mauricio</t>
  </si>
  <si>
    <t>Command Center Analyst</t>
  </si>
  <si>
    <t>Carla Crank</t>
  </si>
  <si>
    <t>Client Services Analyst</t>
  </si>
  <si>
    <t>Craig Rae</t>
  </si>
  <si>
    <t>Special Projects Analyst, IT</t>
  </si>
  <si>
    <t>Alberta Beaver</t>
  </si>
  <si>
    <t>Telecom Administrator</t>
  </si>
  <si>
    <t>Nora Fontes</t>
  </si>
  <si>
    <t>Software QA Analyst</t>
  </si>
  <si>
    <t>Vincent Gallego</t>
  </si>
  <si>
    <t>Application Support Analyst</t>
  </si>
  <si>
    <t>Juana Albrecht</t>
  </si>
  <si>
    <t>Supervisor, Application Support</t>
  </si>
  <si>
    <t>Chris Wiegand</t>
  </si>
  <si>
    <t>Systems Administrator</t>
  </si>
  <si>
    <t>Ralph Serna</t>
  </si>
  <si>
    <t>Security Analyst</t>
  </si>
  <si>
    <t>Russell Cover</t>
  </si>
  <si>
    <t>Krista Norton</t>
  </si>
  <si>
    <t>Ronald Lenhart</t>
  </si>
  <si>
    <t>Carl Lackey</t>
  </si>
  <si>
    <t>Sr Systems Analyst</t>
  </si>
  <si>
    <t>Mark Quiles</t>
  </si>
  <si>
    <t>Web Developer</t>
  </si>
  <si>
    <t>Eugene Holcombe</t>
  </si>
  <si>
    <t>BI Developer</t>
  </si>
  <si>
    <t>Ann Arango</t>
  </si>
  <si>
    <t>Sr BI Developer</t>
  </si>
  <si>
    <t>Carolyn Bump</t>
  </si>
  <si>
    <t>Business Analyst, IT</t>
  </si>
  <si>
    <t>Blanche Danner</t>
  </si>
  <si>
    <t>Elsie Keeling</t>
  </si>
  <si>
    <t>Sales Operations Assistant</t>
  </si>
  <si>
    <t>Katherine Stamp</t>
  </si>
  <si>
    <t>Solutions Architect</t>
  </si>
  <si>
    <t>Joshua Darnell</t>
  </si>
  <si>
    <t>Manager, Architecture</t>
  </si>
  <si>
    <t>Sheryl Stumpf</t>
  </si>
  <si>
    <t>Manager, IT Project Mgmt</t>
  </si>
  <si>
    <t>Deborah Chou</t>
  </si>
  <si>
    <t>Project Manager, IT</t>
  </si>
  <si>
    <t>Billy Klink</t>
  </si>
  <si>
    <t>Manager, IT Quality Assurance</t>
  </si>
  <si>
    <t>Luis Chung</t>
  </si>
  <si>
    <t>Manager, Software Development</t>
  </si>
  <si>
    <t>Thomas Weigel</t>
  </si>
  <si>
    <t>Manager, Technical Services</t>
  </si>
  <si>
    <t>Travis Sherwin</t>
  </si>
  <si>
    <t>Sr Network Administrator</t>
  </si>
  <si>
    <t>Jeffery Ricketts</t>
  </si>
  <si>
    <t>Program Manager, IT</t>
  </si>
  <si>
    <t>Christopher Gilkey</t>
  </si>
  <si>
    <t>Jessica Farnsworth</t>
  </si>
  <si>
    <t>James Eagle</t>
  </si>
  <si>
    <t>Viola Epley</t>
  </si>
  <si>
    <t>Arlene Dellinger</t>
  </si>
  <si>
    <t>Kristy Shin</t>
  </si>
  <si>
    <t>Gladys Mcclain</t>
  </si>
  <si>
    <t>Steven Echeverria</t>
  </si>
  <si>
    <t>Jeffrey Mickle</t>
  </si>
  <si>
    <t>Sheri Countryman</t>
  </si>
  <si>
    <t>Kristi Hollingsworth</t>
  </si>
  <si>
    <t>Verna Priddy</t>
  </si>
  <si>
    <t>Donald Scholl</t>
  </si>
  <si>
    <t>James Foxworth</t>
  </si>
  <si>
    <t>Tony Fisk</t>
  </si>
  <si>
    <t>Shawn Schmid</t>
  </si>
  <si>
    <t>April Weiser</t>
  </si>
  <si>
    <t>Mike Valdes</t>
  </si>
  <si>
    <t>Katie Overstreet</t>
  </si>
  <si>
    <t>Lawrence Judkins</t>
  </si>
  <si>
    <t>Donald Bachman</t>
  </si>
  <si>
    <t>Juan Sartin</t>
  </si>
  <si>
    <t>Ryan Battles</t>
  </si>
  <si>
    <t>Curtis Thompkins</t>
  </si>
  <si>
    <t>Shelly Blakey</t>
  </si>
  <si>
    <t>Chad Coney</t>
  </si>
  <si>
    <t>Manager, Compliance and Product Safety</t>
  </si>
  <si>
    <t>Antonio Boyer</t>
  </si>
  <si>
    <t>Melissa Rutledge</t>
  </si>
  <si>
    <t>Candace Kirksey</t>
  </si>
  <si>
    <t>Joanne Kershner</t>
  </si>
  <si>
    <t>Harold Shavers</t>
  </si>
  <si>
    <t>Rosalie Harrold</t>
  </si>
  <si>
    <t>New York</t>
  </si>
  <si>
    <t>VP</t>
  </si>
  <si>
    <t>Leonard Rambo</t>
  </si>
  <si>
    <t>Sr Manager, Human Resources</t>
  </si>
  <si>
    <t>Carlos Boisvert</t>
  </si>
  <si>
    <t>Sales Operations Coordinator</t>
  </si>
  <si>
    <t>Sharon Mireles</t>
  </si>
  <si>
    <t>Mike Tang</t>
  </si>
  <si>
    <t>Jason Lockett</t>
  </si>
  <si>
    <t>Lucy Devries</t>
  </si>
  <si>
    <t>Adam Shrum</t>
  </si>
  <si>
    <t>Kathryn Scharf</t>
  </si>
  <si>
    <t>Art Haney</t>
  </si>
  <si>
    <t>Monique Highsmith</t>
  </si>
  <si>
    <t>Sr Program Manager, IT</t>
  </si>
  <si>
    <t>Anthony Ewell</t>
  </si>
  <si>
    <t>Kristina Brenneman</t>
  </si>
  <si>
    <t>Carolyn Rockett</t>
  </si>
  <si>
    <t>Sales Operations Specialist</t>
  </si>
  <si>
    <t>Christopher Hedge</t>
  </si>
  <si>
    <t>Billy Zack</t>
  </si>
  <si>
    <t>Cash Applications Representative</t>
  </si>
  <si>
    <t>Jill Anthony</t>
  </si>
  <si>
    <t>Melissa Guyer</t>
  </si>
  <si>
    <t>Financial Analyst</t>
  </si>
  <si>
    <t>Violet Speer</t>
  </si>
  <si>
    <t>Marjorie Ferguson</t>
  </si>
  <si>
    <t>Antonio Casas</t>
  </si>
  <si>
    <t>Chad Beard</t>
  </si>
  <si>
    <t>Sherri Manzanares</t>
  </si>
  <si>
    <t>Sales Support Coordinator</t>
  </si>
  <si>
    <t>Raymond Cothran</t>
  </si>
  <si>
    <t>Sales Support Specialist</t>
  </si>
  <si>
    <t>Lydia Pepin</t>
  </si>
  <si>
    <t>Sales Support Specialist II</t>
  </si>
  <si>
    <t>Terry Hair</t>
  </si>
  <si>
    <t>Maxine Lehmann</t>
  </si>
  <si>
    <t>Eric Durst</t>
  </si>
  <si>
    <t>Monique Fecteau</t>
  </si>
  <si>
    <t>Sales Trainer</t>
  </si>
  <si>
    <t>Vincent Cole</t>
  </si>
  <si>
    <t>Sr Sales Trainer</t>
  </si>
  <si>
    <t>Nicholas Harlan</t>
  </si>
  <si>
    <t>Cash Applications Lead</t>
  </si>
  <si>
    <t>Tonya Coronado</t>
  </si>
  <si>
    <t>Harold Jeffries</t>
  </si>
  <si>
    <t>SR VP</t>
  </si>
  <si>
    <t>CEO</t>
  </si>
  <si>
    <t>#N/A</t>
  </si>
  <si>
    <t>John Smith</t>
  </si>
  <si>
    <t>Natalie Turner</t>
  </si>
  <si>
    <t>Job Code</t>
  </si>
  <si>
    <t>Grade</t>
  </si>
  <si>
    <t>Min</t>
  </si>
  <si>
    <t>Mid</t>
  </si>
  <si>
    <t>Max</t>
  </si>
  <si>
    <t>Bonus Eligibility</t>
  </si>
  <si>
    <t>Bonus Target %</t>
  </si>
  <si>
    <t>ACC1001</t>
  </si>
  <si>
    <t>ACC1002</t>
  </si>
  <si>
    <t>ACC1003</t>
  </si>
  <si>
    <t>ACC1004</t>
  </si>
  <si>
    <t>ACC1005</t>
  </si>
  <si>
    <t>ACC1006</t>
  </si>
  <si>
    <t>ACC2001</t>
  </si>
  <si>
    <t>ACC2002</t>
  </si>
  <si>
    <t>ACC2003</t>
  </si>
  <si>
    <t>ACC3001</t>
  </si>
  <si>
    <t>BD1001</t>
  </si>
  <si>
    <t>BD1002</t>
  </si>
  <si>
    <t>BD2001</t>
  </si>
  <si>
    <t>BD3001</t>
  </si>
  <si>
    <t>BD3002</t>
  </si>
  <si>
    <t>CRD1001</t>
  </si>
  <si>
    <t>CRD1002</t>
  </si>
  <si>
    <t>CRD1003</t>
  </si>
  <si>
    <t>CRD1004</t>
  </si>
  <si>
    <t>CRD1005</t>
  </si>
  <si>
    <t>CRD2001</t>
  </si>
  <si>
    <t>CRD3001</t>
  </si>
  <si>
    <t>CRD3002</t>
  </si>
  <si>
    <t>FIN1001</t>
  </si>
  <si>
    <t>FIN1002</t>
  </si>
  <si>
    <t>FIN1003</t>
  </si>
  <si>
    <t>Human Resources</t>
  </si>
  <si>
    <t>HR1001</t>
  </si>
  <si>
    <t>HR1002</t>
  </si>
  <si>
    <t>HR1003</t>
  </si>
  <si>
    <t>HR1004</t>
  </si>
  <si>
    <t>BEN1001</t>
  </si>
  <si>
    <t>BEN1002</t>
  </si>
  <si>
    <t>BEN1003</t>
  </si>
  <si>
    <t>BEN1004</t>
  </si>
  <si>
    <t>TAL1001</t>
  </si>
  <si>
    <t>TAL3001</t>
  </si>
  <si>
    <t>COMP1001</t>
  </si>
  <si>
    <t>COMP1002</t>
  </si>
  <si>
    <t>COMP1003</t>
  </si>
  <si>
    <t>FM1001</t>
  </si>
  <si>
    <t>FM3001</t>
  </si>
  <si>
    <t>HR2001</t>
  </si>
  <si>
    <t>HR3001</t>
  </si>
  <si>
    <t>LND3001</t>
  </si>
  <si>
    <t>Information Technology</t>
  </si>
  <si>
    <t>IT1001</t>
  </si>
  <si>
    <t>IT1002</t>
  </si>
  <si>
    <t>IT1003</t>
  </si>
  <si>
    <t>IT1004</t>
  </si>
  <si>
    <t>IT1005</t>
  </si>
  <si>
    <t>IT1006</t>
  </si>
  <si>
    <t>IT1007</t>
  </si>
  <si>
    <t>IT1008</t>
  </si>
  <si>
    <t>IT1009</t>
  </si>
  <si>
    <t>IT-PUR1001</t>
  </si>
  <si>
    <t>IT-PUR1002</t>
  </si>
  <si>
    <t>IT-APP1001</t>
  </si>
  <si>
    <t>IT-APP2001</t>
  </si>
  <si>
    <t>IT-CCA1001</t>
  </si>
  <si>
    <t>IT-CSA1001</t>
  </si>
  <si>
    <t>IT-SPA1001</t>
  </si>
  <si>
    <t>IT-TA1001</t>
  </si>
  <si>
    <t>IT-QA1001</t>
  </si>
  <si>
    <t>IT-ASA1001</t>
  </si>
  <si>
    <t>IT-ASA1002</t>
  </si>
  <si>
    <t>IT-SA1001</t>
  </si>
  <si>
    <t>IT-SA1002</t>
  </si>
  <si>
    <t>IT-SA1003</t>
  </si>
  <si>
    <t>IT-WD1001</t>
  </si>
  <si>
    <t>IT-BID1001</t>
  </si>
  <si>
    <t>IT-BID1002</t>
  </si>
  <si>
    <t>IT-BA1001</t>
  </si>
  <si>
    <t>IT-AM1001</t>
  </si>
  <si>
    <t>IT-AM2001</t>
  </si>
  <si>
    <t>IT-PM2001</t>
  </si>
  <si>
    <t>IT-PM2002</t>
  </si>
  <si>
    <t>IT-QA2001</t>
  </si>
  <si>
    <t>IT-SD2001</t>
  </si>
  <si>
    <t>IT-TS2001</t>
  </si>
  <si>
    <t>IT-NA1001</t>
  </si>
  <si>
    <t>IT-PM1001</t>
  </si>
  <si>
    <t>IT-PM1002</t>
  </si>
  <si>
    <t>PARA1001</t>
  </si>
  <si>
    <t>PARA1002</t>
  </si>
  <si>
    <t>LC1001</t>
  </si>
  <si>
    <t>LC1002</t>
  </si>
  <si>
    <t>LC1003</t>
  </si>
  <si>
    <t>LC1004</t>
  </si>
  <si>
    <t>LC1005</t>
  </si>
  <si>
    <t>LC2001</t>
  </si>
  <si>
    <t>LC2005</t>
  </si>
  <si>
    <t>LC2003</t>
  </si>
  <si>
    <t>LC2006</t>
  </si>
  <si>
    <t>SA1001</t>
  </si>
  <si>
    <t>SA2001</t>
  </si>
  <si>
    <t>AM1001</t>
  </si>
  <si>
    <t>TM1001</t>
  </si>
  <si>
    <t>NAM1001</t>
  </si>
  <si>
    <t>RSM2001</t>
  </si>
  <si>
    <t>SAM1001</t>
  </si>
  <si>
    <t>SAM1002</t>
  </si>
  <si>
    <t>CS2002</t>
  </si>
  <si>
    <t>SO1001</t>
  </si>
  <si>
    <t>SO1002</t>
  </si>
  <si>
    <t>SO1003</t>
  </si>
  <si>
    <t>SO1004</t>
  </si>
  <si>
    <t>SO2001</t>
  </si>
  <si>
    <t>SO2002</t>
  </si>
  <si>
    <t>SS1001</t>
  </si>
  <si>
    <t>SS1002</t>
  </si>
  <si>
    <t>SS1003</t>
  </si>
  <si>
    <t>SS1004</t>
  </si>
  <si>
    <t>CRM1001</t>
  </si>
  <si>
    <t>ST1001</t>
  </si>
  <si>
    <t>ST1002</t>
  </si>
  <si>
    <t>ST2001</t>
  </si>
  <si>
    <t>ST2002</t>
  </si>
  <si>
    <t>Merit Budget/Spend by Location (USD)</t>
  </si>
  <si>
    <t>Merit Budget/Spend by Manager (USD)</t>
  </si>
  <si>
    <t>schart/Chart2/500/300</t>
  </si>
  <si>
    <t>schart/Chart3/500/300</t>
  </si>
  <si>
    <t>Spend</t>
  </si>
  <si>
    <t>Difference</t>
  </si>
  <si>
    <t>% Over/Under</t>
  </si>
  <si>
    <t>Summary Reporting (USD)</t>
  </si>
  <si>
    <t>Show</t>
  </si>
  <si>
    <t>Market</t>
  </si>
  <si>
    <t>LTI</t>
  </si>
  <si>
    <t>Market Budget</t>
  </si>
  <si>
    <t>Market Increases</t>
  </si>
  <si>
    <t>Amount Remaining</t>
  </si>
  <si>
    <t>Over/Under %</t>
  </si>
  <si>
    <t>Merit Budget</t>
  </si>
  <si>
    <t>Lump Sum</t>
  </si>
  <si>
    <t>Merit Increases</t>
  </si>
  <si>
    <t>Promotion Increases</t>
  </si>
  <si>
    <t>Bonus Pool Allowance</t>
  </si>
  <si>
    <t>Bonus Payout Amount</t>
  </si>
  <si>
    <t>LTI Pool Allowance</t>
  </si>
  <si>
    <t>LTI Award 
Amount</t>
  </si>
  <si>
    <t>Amount 
Remaining</t>
  </si>
  <si>
    <t>EEID</t>
  </si>
  <si>
    <t>EE Name</t>
  </si>
  <si>
    <t>HRBP Concatenated ID</t>
  </si>
  <si>
    <t>Not Rated</t>
  </si>
  <si>
    <t>Performance Rating Counts by Manager</t>
  </si>
  <si>
    <t>Hidden</t>
  </si>
  <si>
    <t>Total # EEs</t>
  </si>
  <si>
    <t>Total # EEs Rated</t>
  </si>
  <si>
    <t># EEs</t>
  </si>
  <si>
    <t>Show Row</t>
  </si>
  <si>
    <t>ilink/https://securesheet-images.s3.amazonaws.com/10177/images/ACME%20Logo_smaller2.png</t>
  </si>
  <si>
    <t>Unique ID:</t>
  </si>
  <si>
    <t>Total Compensation Statement</t>
  </si>
  <si>
    <t>Master Tab Row:</t>
  </si>
  <si>
    <t>FY 2025</t>
  </si>
  <si>
    <t>Merit Eligible</t>
  </si>
  <si>
    <t>Employee Name:</t>
  </si>
  <si>
    <t>Employee ID #:</t>
  </si>
  <si>
    <t>Manager's Name:</t>
  </si>
  <si>
    <t>Promo Eligible</t>
  </si>
  <si>
    <t>Bonus Eligible</t>
  </si>
  <si>
    <t>Prorated Bonus</t>
  </si>
  <si>
    <t>This statement provides a summary of compensation based on your year-end performance appraisal. We thank you for your hard work and dedication to our company.</t>
  </si>
  <si>
    <t>LTI Eligible</t>
  </si>
  <si>
    <t>Performance</t>
  </si>
  <si>
    <t>FY 2025 Performance/Values Rating:</t>
  </si>
  <si>
    <t>Market Adjustment</t>
  </si>
  <si>
    <t>Show if there's a market adj amount</t>
  </si>
  <si>
    <t>Market Adjustment:</t>
  </si>
  <si>
    <t>Show if merit eligible</t>
  </si>
  <si>
    <t>FY 2025 Base Pay:</t>
  </si>
  <si>
    <t>2026 Merit Increase Amount:</t>
  </si>
  <si>
    <t>Lump Sum:</t>
  </si>
  <si>
    <t>Show if lump sum</t>
  </si>
  <si>
    <t>2026 Base Pay**:</t>
  </si>
  <si>
    <t>Show if promo eligible</t>
  </si>
  <si>
    <t>New Title:</t>
  </si>
  <si>
    <t>2026 Promotion Increase %:</t>
  </si>
  <si>
    <t>2026 Promotion Increase Amount:</t>
  </si>
  <si>
    <t>New Base Pay:</t>
  </si>
  <si>
    <t>2025 Bonus Target:</t>
  </si>
  <si>
    <t>Show if Bonus Target &gt;0%</t>
  </si>
  <si>
    <t>2026 LTI Target %:</t>
  </si>
  <si>
    <t>Show if LTI Targer &gt;0%</t>
  </si>
  <si>
    <t>Annual or Sales Incentive Plan Bonus Payment</t>
  </si>
  <si>
    <t>Show if bonus eligible</t>
  </si>
  <si>
    <t>FY 2025 Bonus Target %:</t>
  </si>
  <si>
    <t>FY 2025 Prorated Bonus Target %:</t>
  </si>
  <si>
    <t>Show if bonus eligible and proration = Yes</t>
  </si>
  <si>
    <t>Individual Bonus Multiplier %:</t>
  </si>
  <si>
    <t>FY 2025 Bonus Payment***:</t>
  </si>
  <si>
    <t>Show if LTI eligible</t>
  </si>
  <si>
    <t>LTI Awarded Amount (USD):</t>
  </si>
  <si>
    <t>**Effective the first paycheck in January</t>
  </si>
  <si>
    <t>ilink/https://securesheet-images.s3.amazonaws.com/7122/images/ByrdSig.jpg</t>
  </si>
  <si>
    <t>***Percentage is prorated based on time worked at Acme Solutions in fiscal year 2025 and a company performance factor of 70%.  You must be hired on or before July 31st, 2025 to receive a bonus reward or merit increase.  Employees must be employed at time of payout to be eligible for payment.  For those employees only in AIP or SIP, you will only see the appropriate plan payment.  For AIP eligible Salaried employees, the bonus calculations utilize your annual base pay as of 9/30/25.  For AIP eligible Hourly employees, the bonus calculations utilize your eligible earnings for all paychecks paid between 10/1/24 to 9/30/25.  Please refer to the FY2025 AIP plan document for rules and eligibility.</t>
  </si>
  <si>
    <t>Disclaimer: This summary is intended for informational purposes only. Acme Solutions shall not be liable for any errors or omissions in this report.</t>
  </si>
  <si>
    <t>See</t>
  </si>
  <si>
    <t>Annualized Compensation</t>
  </si>
  <si>
    <t>Current Base Salary</t>
  </si>
  <si>
    <t>Final Bonus Payout</t>
  </si>
  <si>
    <t>BASE SALARY</t>
  </si>
  <si>
    <t>Total Annualized Salary &amp; Bonus</t>
  </si>
  <si>
    <t>2025 Base Pay**:</t>
  </si>
  <si>
    <t>MARKET ADJUSTMENT</t>
  </si>
  <si>
    <t>PROMOTION</t>
  </si>
  <si>
    <t>ANNUAL/SALES INCENTIVE</t>
  </si>
  <si>
    <t>FY 2024 Bonus Payment***:</t>
  </si>
  <si>
    <t>2025 ANNUALIZED BASE &amp; BONUS COMPENSATION</t>
  </si>
  <si>
    <t>Annualized Totals</t>
  </si>
  <si>
    <t>schart/Chart1/300/200:summary</t>
  </si>
  <si>
    <t>Base</t>
  </si>
  <si>
    <t>***Percentage is prorated based on time worked at Acme Solutions in fiscal year 2025 and a company performance factor of 70%.  You must be hired on or before July 31st, 202% to receive a bonus reward or merit increase.  Employees must be employed at time of payout to be eligible for payment.  For those employees only in AIP or SIP, you will only see the appropriate plan payment.  For AIP eligible Salaried employees, the bonus calculations utilize your annual base pay as of 9/30/25.  For AIP eligible Hourly employees, the bonus calculations utilize your eligible earnings for all paychecks paid between 10/1/24 to 9/30/25.  Please refer to the FY2025 AIP plan document for rules and eligibility.</t>
  </si>
  <si>
    <t>ilink/https://securesheet-images.s3.amazonaws.com/7122/images/acme_logo_new_statement.jpg</t>
  </si>
  <si>
    <t>Your Total Compensation Statement</t>
  </si>
  <si>
    <t>Name:</t>
  </si>
  <si>
    <t>Current Salary (col-T):</t>
  </si>
  <si>
    <t>We want to take this time to thank you for all your contributions.  Employees like you make a difference every day and embody what Acme is all about.</t>
  </si>
  <si>
    <t>Increase % (col-AT):</t>
  </si>
  <si>
    <t>Increase $ (col-AR):</t>
  </si>
  <si>
    <t>New Salary (col-AU):</t>
  </si>
  <si>
    <t>First Name</t>
  </si>
  <si>
    <t>While 2025 was an amazing year with your support, we have every confidence that you will contiune to be a major influence in Acme's success and look forward to another successful year.</t>
  </si>
  <si>
    <t>Sincerely,</t>
  </si>
  <si>
    <t>Ratings</t>
  </si>
  <si>
    <t>Managers</t>
  </si>
  <si>
    <t>Position</t>
  </si>
  <si>
    <t>Manager Email</t>
  </si>
  <si>
    <t>Cust Serv Rep</t>
  </si>
  <si>
    <t>Todd.Falco@acme.com</t>
  </si>
  <si>
    <t>Terminated</t>
  </si>
  <si>
    <t>Allison.Felton@acme.com</t>
  </si>
  <si>
    <t>Director</t>
  </si>
  <si>
    <t>John.Jaworski@acme.com</t>
  </si>
  <si>
    <t>Etc</t>
  </si>
  <si>
    <t>CSR</t>
  </si>
  <si>
    <t>Mamie.Townley@acme.com</t>
  </si>
  <si>
    <t>Robert.Boatwright@acme.com</t>
  </si>
  <si>
    <t>Line Supervisor</t>
  </si>
  <si>
    <t>Steven.Van@acme.com</t>
  </si>
  <si>
    <t>Operations Mgr</t>
  </si>
  <si>
    <t>Leonard.Schell@acme.com</t>
  </si>
  <si>
    <t>Sales Rep</t>
  </si>
  <si>
    <t>Jack.Falkner@acme.com</t>
  </si>
  <si>
    <t>Admin Support</t>
  </si>
  <si>
    <t>Maxine.Mceachern@acme.com</t>
  </si>
  <si>
    <t>Tech</t>
  </si>
  <si>
    <t>Eugene.Coe@acme.com</t>
  </si>
  <si>
    <t>Mfg Supv</t>
  </si>
  <si>
    <t>Gina.Hernandez@acme.com</t>
  </si>
  <si>
    <t>Whs Mgr</t>
  </si>
  <si>
    <t>Roy.Anthony@acme.com</t>
  </si>
  <si>
    <t>Erika.Bettino@acme.com</t>
  </si>
  <si>
    <t>Jude.Portelli@acme.com</t>
  </si>
  <si>
    <t>Vinnie.Ambrosi@acme.com</t>
  </si>
  <si>
    <t>Lainey.Daniel@acme.com</t>
  </si>
  <si>
    <t>Named Range Used</t>
  </si>
  <si>
    <t>ssDepList</t>
  </si>
  <si>
    <t>Exchange Rate</t>
  </si>
  <si>
    <t>EUR</t>
  </si>
  <si>
    <t>GBP</t>
  </si>
  <si>
    <t>Bonus Yr Start Date</t>
  </si>
  <si>
    <t>Bonus Yr End Date</t>
  </si>
  <si>
    <t>Comp Planning Approach</t>
  </si>
  <si>
    <t>This SecureSheet is only an example. The logic and approach are strictly for illustrative purposes.</t>
  </si>
  <si>
    <t>END</t>
  </si>
  <si>
    <t>Market Gap:
IF((Q9-U9)/U9&lt;0,0%,(Q9-U9)/U9)</t>
  </si>
  <si>
    <t>If the mid range minus the current salary, divided by the current salary is less than 0, the market gap results with 0%. Otherwise, the mid range minus current salary, divided by the current salary, will provide the percent difference between the current salary and mid range.</t>
  </si>
  <si>
    <t>Eligibility:
IF(W9&gt;5%,"Yes","No")</t>
  </si>
  <si>
    <t>Determined based on the Market Gap Calculation. If Market Gap is greater than 5%, employee is flagged eligible.
• If an employee is eligible, the budgeted amount is 2% of their current salary and end users can enter an amount in the Market Adj $ (USD) column.
• If an employee is not eligible, no budgeted amount is calculated and planners are unable to enter an amount in the Market Adj $ (USD) column.</t>
  </si>
  <si>
    <t>Market Adj $ USD Budget</t>
  </si>
  <si>
    <t>Budget is 2% x current salary.</t>
  </si>
  <si>
    <t>Planners enter a market adjustment amount in USD. If the amount is greater than the budgeted amount, font will turn red once user clicks Save Changes.</t>
  </si>
  <si>
    <t>Performance Rating</t>
  </si>
  <si>
    <t>Planners select Exceeds, Meets or Below from dropdown which set the merit planning guidelines.</t>
  </si>
  <si>
    <t>Merit Planning</t>
  </si>
  <si>
    <t>Eligible for merit</t>
  </si>
  <si>
    <t>Comp team identifies who is and isn't eligible for merit. If an employee isn't eligible for merit, the input columns will be locked so planners are unable to propose an increase.</t>
  </si>
  <si>
    <t>% Increase OR $ Increase</t>
  </si>
  <si>
    <t>Planners can enter a % Increase or $ Increase in the appropriate columns, but not both. A data validation using helper columns prevents planners from entering both. Planners must enter % increase that falls within the merit guidelines based on the performance rating selected, which is also controlled by the helper columns/data validation.</t>
  </si>
  <si>
    <t>Proposed Merit Increase
IF(AH9="",AI9,U9*AH9)</t>
  </si>
  <si>
    <t>If the percent increase column is blank, return the amount listed from the $ Increase column. Otherwise, calculate the current salary x % Increase. This is titled proposed merit increase since the max range is considered before finalizing the new increase amount. The proposed merit increase does not include the amount that may be listed as a market adjustment.</t>
  </si>
  <si>
    <t>Proposed New Salary (USD) - Adj+Merit Increase
U9+AB9+AL9</t>
  </si>
  <si>
    <t>Adds the proposed merit increase amount with the current salary and market adjustment. Market adjustment is included in this calculation to show the overall proposed new salary. This is titled proposed merit increase since the max range is considered before finalizing the new salary.</t>
  </si>
  <si>
    <t>Over Max?
IF(AN9&gt;R9,"Yes by USD " &amp;TEXT((AN9-R9),"#,##0"),"No")</t>
  </si>
  <si>
    <t>If the proposed new salary is greater than the max range amount, this field will show Yes and the amount it's over by taking the proposed new salary minus the max.</t>
  </si>
  <si>
    <t>Amount as Lump Sum
IF(AN9&lt;R9,0,IF(R9-AN9&lt;0,IF(AN9-R9&gt;AL9,AL9,AN9-R9)))</t>
  </si>
  <si>
    <t>• If the proposed new salary is less than the max range amount, no lump sum
• If the proposed new salary is greater than the max range amount, check to see if the proposed new salary amount minus the max range is greater than the proposed increase amount. If so, the entire merit increase amount requested will result as a lump sum. If not, then the difference between the new proposed amount minus the max range will be paid as a lump sum. The remaining amount will be added to current salary to create the new salary. Any amount over the maximum range must be paid as a lump sum in order to keep the employee within pay ranges.</t>
  </si>
  <si>
    <t>Actual Merit Increase (USD)
IF(AL9-AQ9&lt;0,0,AL9-AQ9)</t>
  </si>
  <si>
    <t>Shows the actual merit increase by calculating the proposed merit increase minus the lump sum amount.</t>
  </si>
  <si>
    <t>Actual Merit % Increase
IFERROR(AS9/(U9+AB9),0)</t>
  </si>
  <si>
    <t>Shows the actual merit increase % less the lump sum amount.</t>
  </si>
  <si>
    <t>New Salary (USD) Merit + Market Adjustment
AS9+U9+AB9</t>
  </si>
  <si>
    <t>Combines the actual merit increase amount, base pay prior to merit and market adjustment.</t>
  </si>
  <si>
    <t>Comp Comments
IF(AD9="No","Not Eligible for Merit",IF(AND(AH9&gt;0,AI9&gt;0),"Enter only % Increase OR $ Increase",IF(AND(AG9="Exceeds",OR(AJ9&lt;0.025,AJ9&gt;0.06)),"Not within guidelines",IF(AND(AG9="Meets",OR(AJ9&lt;0.01,AJ9&gt;0.025)),"Not within guidelines",IF(AND(AG9="Below",AJ9&lt;&gt;0),"Not within guidelines",IF(AND(AL9=AQ9,AQ9&gt;0),"Employee to receive full proposed merit increase as a lump sum",IF(AND(AQ9&gt;0,AQ9&lt;AL9),"Employee to receive part of proposed increase as a lump sum","")))))))</t>
  </si>
  <si>
    <t>Comp Comments column provides notes to the planners as reminders. For example:
• If an employee isn't eligible, comment will say "Not eligible for merit".
• If an employee has an amount in proposed merit increase that equals the lump sum amount and the lump sum amount is greater than 0, the comment is "Employee to receive full proposed merit increase as a lump sum."
• If an employee has a lump sum amount greater than 0 and it's less than the proposed merit increase amount, the comment is "Employee to receive part of proposed increase as a lump sum."</t>
  </si>
  <si>
    <t>Comp team identifies who is and isn't eligible for promotion. If an employee isn't eligible for a promotion, the input columns will be locked so planners are unable to enter promotion details.</t>
  </si>
  <si>
    <t>For eligible employees, planners select the department from the dropdown that the employee will be in once promoted.</t>
  </si>
  <si>
    <t>This field is dependent on the department that's selected. Once a department is selected, titles that are within that department will appear for the planners to choose.</t>
  </si>
  <si>
    <t>Planners would enter the increase % for the employee, which will automatically populate the local and USD amounts in the following columns.</t>
  </si>
  <si>
    <t>Bonus Eligibility, New Target %, New LTI % and salary ranges</t>
  </si>
  <si>
    <t>These fields automatically populate based on the title that is selected. A lookup off of title pulls in the details from the job codes tab.</t>
  </si>
  <si>
    <t>Eligible for Bonus</t>
  </si>
  <si>
    <t>Comp team identifies who is and isn't eligible for bonus. If an employee isn't eligible for a bonus, the Individual Performance Multiplier % column will be locked so planners are unable to make changes to this column.</t>
  </si>
  <si>
    <t>Target Bonus %
VLOOKUP(I9,'Job Codes'!$B$2:$I$120,8,FALSE)</t>
  </si>
  <si>
    <t>Based on the employee's title and what's listed on the Job Codes tab as the target %.</t>
  </si>
  <si>
    <t>Proration is based off the hire date and is calculated outside of SecureSheet.</t>
  </si>
  <si>
    <t>Input column for planners to enter the Individual Performance Multiplier %. If a planner enters over 100%, they are required to enter a comment. If Planner tries to Save Changes before entering a comment, the data validation on this column will prevent them from saving. The planner must enter a comment and try to Save Changes again.</t>
  </si>
  <si>
    <t>Bonus Payout Amount (USD)
IF(BO9="Yes",BU9*BT9,0)</t>
  </si>
  <si>
    <t>If an employee is eligible, calculate the Individual Performance Multiplier % x the Prorated Target Bonus. If the employee is not eligible, result with 0.</t>
  </si>
  <si>
    <t>Comp team identifies who is and isn't eligible for LTI. If an employee isn't eligible for LTI, the LTI Awarded $ USD column will be locked so planners are unable to make changes to this column.</t>
  </si>
  <si>
    <t>LTI Target %
VLOOKUP(I9,'Job Codes'!$B$2:$J$120,9,FALSE)</t>
  </si>
  <si>
    <t>Recommended amount based on target %. Planners may enter a different amount but must stay within budget for their team.</t>
  </si>
  <si>
    <t>Additional Notes on this example SecureSheet setup:</t>
  </si>
  <si>
    <t>Manager Hierarchy/View Security</t>
  </si>
  <si>
    <t>Manager hierarchy is listed for filtering purposes and for the multi level approval locking (to skip levels where applicable). The security filter is an inferred rollup in SecureSheet based on the Manager ID column. 2nd Level - 4th Level see all of the employees that roll up into their org.</t>
  </si>
  <si>
    <t>HRBP Hierarchy/View Security</t>
  </si>
  <si>
    <t>Two HRBPs need to see the same row and have the same permissions. For this reason, there's an HRBP1 ID, HRBP1 Name, HRBP2 ID, HRBP2 Name and a column that concatenates the HRBP IDs, separating them by a semicolon. The security filter is based off the concatenate HRBP ID column so both HRBPs have access to the same row and only one HRBP view is needed.</t>
  </si>
  <si>
    <t>The lock cells formula is set to list any cells that should lock based on the employee's eligibility for each compensation process within the sheet. This formula combined with the Lock Cell Range option on a view, prevent a user from inputting data into the cell that's in an unlocked column.</t>
  </si>
  <si>
    <t>Approval Hierarchy/Process</t>
  </si>
  <si>
    <t>Each level must submit/approve before it moves to the next manager level. Direct managers are the first level to submit, then it moves to the 2nd, 3rd, etc. The levels above are unable to approve until the levels below have submitted/approved. If there's a gap in the hierarchy, the approval locking will skip and look for the next approval level.
For example:
• Direct Manager has submitted and the next level of approval is the 3rd Level. 
• The 2nd level approval is not required because the hierarchy columns (2nd Level ID and 2nd Level Name) are blank. 
• The 3rd level will unlock once the manager has submitted.</t>
  </si>
  <si>
    <t>Sheet</t>
  </si>
  <si>
    <t>Chart</t>
  </si>
  <si>
    <t>Series</t>
  </si>
  <si>
    <t>Chart_Type</t>
  </si>
  <si>
    <t>Y_Axis_Type</t>
  </si>
  <si>
    <t>Series_Color</t>
  </si>
  <si>
    <t>Background_Color</t>
  </si>
  <si>
    <t>Display_Legend</t>
  </si>
  <si>
    <t>Legend_Location</t>
  </si>
  <si>
    <t>Legend_Color</t>
  </si>
  <si>
    <t>X_Axis_Color</t>
  </si>
  <si>
    <t>Y_Axis_Color</t>
  </si>
  <si>
    <t>Y2_Axis_Color</t>
  </si>
  <si>
    <t>Y_Axis_Format</t>
  </si>
  <si>
    <t>Y2_Axis_Format</t>
  </si>
  <si>
    <t>X_Axis_Format</t>
  </si>
  <si>
    <t>X_Axis_Maximum</t>
  </si>
  <si>
    <t>X_Axis_Interval</t>
  </si>
  <si>
    <t>X_Axis_Title</t>
  </si>
  <si>
    <t>Y_Axis_Title</t>
  </si>
  <si>
    <t>X_Axis_GridLines</t>
  </si>
  <si>
    <t>Y_Axis_GridLines</t>
  </si>
  <si>
    <t>Value_Shown_As_Label</t>
  </si>
  <si>
    <t>Y_Axis_Maximum</t>
  </si>
  <si>
    <t>Y2_Axis_Maximum</t>
  </si>
  <si>
    <t>X2_Axis_Maximum</t>
  </si>
  <si>
    <t>Y_Axis_Interval</t>
  </si>
  <si>
    <t>Y2_Axis_Interval</t>
  </si>
  <si>
    <t>X2_Axis_Interval</t>
  </si>
  <si>
    <t>X2_Axis_GridLines</t>
  </si>
  <si>
    <t>Y2_Axis_GridLines</t>
  </si>
  <si>
    <t>Y_Axis_TickMarks</t>
  </si>
  <si>
    <t>Y2_Axis_TickMarks</t>
  </si>
  <si>
    <t>X_Axis_TickMarks</t>
  </si>
  <si>
    <t>X2_Axis_TickMarks</t>
  </si>
  <si>
    <t>Is_Visible_In_Legend</t>
  </si>
  <si>
    <t>Title_Properties</t>
  </si>
  <si>
    <t>Other_Chart_Properties</t>
  </si>
  <si>
    <t>Other_Series_Properties</t>
  </si>
  <si>
    <t>MeritBonus</t>
  </si>
  <si>
    <t>Chart1</t>
  </si>
  <si>
    <t>LightYellow</t>
  </si>
  <si>
    <t>DarkBlue</t>
  </si>
  <si>
    <t>DarkGreen</t>
  </si>
  <si>
    <t>$0,000</t>
  </si>
  <si>
    <t>R191:G191:B191</t>
  </si>
  <si>
    <t>Dashboard</t>
  </si>
  <si>
    <t>Chart2</t>
  </si>
  <si>
    <t>Line</t>
  </si>
  <si>
    <t>Secondary</t>
  </si>
  <si>
    <t>Bottom</t>
  </si>
  <si>
    <t>0.0%</t>
  </si>
  <si>
    <t>Chart3</t>
  </si>
  <si>
    <t>MeritBonusSEQ</t>
  </si>
  <si>
    <t>Chart4</t>
  </si>
  <si>
    <t>Top.Center</t>
  </si>
  <si>
    <t>PieLabelStyle:Inside</t>
  </si>
  <si>
    <t>Sheet Name</t>
  </si>
  <si>
    <t>Chart Name</t>
  </si>
  <si>
    <t>Series Number</t>
  </si>
  <si>
    <t>Line or LineSmooth</t>
  </si>
  <si>
    <t>A named color (Red) or an RGB equivalent (found in Excel custom colors) R255:G0:B0 is the Red equivalent in RGB format</t>
  </si>
  <si>
    <t>If blank it will show, to hide set to No</t>
  </si>
  <si>
    <t>Top, Bottom, Left, Right or Bottom.Center/Near/Far or Bottom.Near.Reverse</t>
  </si>
  <si>
    <t>A named color (Red) or an RGB equivalent (found in Excel custom colors) R:255:G:0:B:0 is the Red equivalent in RGB format</t>
  </si>
  <si>
    <t>Any legitimate format, formats the values, as an example 0.0% is formatted as a percentag</t>
  </si>
  <si>
    <t>The Maximum an x-axis will be - value greater than 0</t>
  </si>
  <si>
    <t>the x-axis interval, value greater than 0</t>
  </si>
  <si>
    <t>The title on the x-axis</t>
  </si>
  <si>
    <t>The title on the Y axis</t>
  </si>
  <si>
    <t>hide</t>
  </si>
  <si>
    <t>yes</t>
  </si>
  <si>
    <t>The Maximum an y-axis will be - value greater than 0</t>
  </si>
  <si>
    <t>The Maximum an y2-axis will be - value greater than 0</t>
  </si>
  <si>
    <t>The Maximum an x-axis2 will be - value greater than 0</t>
  </si>
  <si>
    <t>the y2-axis interval, value greater than 0</t>
  </si>
  <si>
    <t>The Maximum an x2-axis will be - value greater than 0</t>
  </si>
  <si>
    <t>no</t>
  </si>
  <si>
    <t>Fomat is Title//FontName:Calibri//FontSize:12//FontBold:Y</t>
  </si>
  <si>
    <t>Inclination:45//
XAxisLineWidth:0//
YAxisLineWidth:0//
3DEnabled:Y//
YAxisMinimum:500</t>
  </si>
  <si>
    <t>PieLabelStyle:Inside//
PointColors:Point:2:Color:Purple//
LineType:Smooth//
Exploded:Y//
DrawingStyle:Cylinder//
MarkerStyle:None</t>
  </si>
  <si>
    <t>A chart is made up of series, and inside a series are points</t>
  </si>
  <si>
    <t>Typically used with scatter charts</t>
  </si>
  <si>
    <t>This is typically used in a combo style chart where one series may be a bar chart, and the second series (Secondary Y Axix) is a Line Chart</t>
  </si>
  <si>
    <t>This applies to a series</t>
  </si>
  <si>
    <t>This is the background color of the chart</t>
  </si>
  <si>
    <t>This controls whether the legend is displayed</t>
  </si>
  <si>
    <t>As an example, Bottom.Far would put the legend to the bottom and right and Top alone would put it at the Top or Top.Center.Reverse would put the legend centered in the top with the legend order reversed</t>
  </si>
  <si>
    <t>The legend colors for the letters in the legend</t>
  </si>
  <si>
    <t>The x-axis value color</t>
  </si>
  <si>
    <t>The Y-axis color</t>
  </si>
  <si>
    <t>The Y-2 axis color</t>
  </si>
  <si>
    <t>If the y axis type is secondary, then this is related to a series</t>
  </si>
  <si>
    <t>As an example, if there are values of 50,100,150, you can set the maximum to 200 and the interval to 50 and you would see 4 lines</t>
  </si>
  <si>
    <t>see maximim\</t>
  </si>
  <si>
    <t>As an example, if you put in Title123, you will see that on the axis</t>
  </si>
  <si>
    <t>hides the lines in the chart for x-axis</t>
  </si>
  <si>
    <t>hides the lines in the chart for y-axis</t>
  </si>
  <si>
    <t>this typically applies to a secondary line, where yiou may have a bar chart with a line superimposed over it and want to show the values on the secondary line point</t>
  </si>
  <si>
    <t>see maximim</t>
  </si>
  <si>
    <t>hides the lines in the chart for x2-axis</t>
  </si>
  <si>
    <t>hides the lines in the chart for y2-axis</t>
  </si>
  <si>
    <t>hides the tickmarks on the axis</t>
  </si>
  <si>
    <t>hides a given series from the legend, so if you have 2 series and you only want to show one label in the legend you can hide the other one</t>
  </si>
  <si>
    <t>This will put the title on top of the chart</t>
  </si>
  <si>
    <t>Inclination is the tilt angle of a 3d chart
XAxisLineWidth and YAxisLineWidth hides the line
3DEnabled:Y makes a chart enabled, example a bubble chart
YAxisMinimum sets the minimum to show for values so if the values range from 0 to 5000 and you set the minimum to 2000 the chart will start there on the Y axis</t>
  </si>
  <si>
    <t>PieLabelStyle controls if the number is inside or outside the pie
Pointcolors controls the colors of the points inside a series, so if a bar chart has 2 bars in a series you can control each bar color (point 1 and point 2)
Exploded:Y tells pie or doughnut chart to explode the series
LineType:Smooth tells the line to round out
DrawingStyle:Cylinder,Emboss,LightToDark,Wedge - applies to Bar and Column charts
MarkerStyle:None tells the marker to be invisible</t>
  </si>
  <si>
    <t>end</t>
  </si>
  <si>
    <t>Bar Charts:</t>
  </si>
  <si>
    <t>ClusteredBars</t>
  </si>
  <si>
    <t>ClusteredBars3D</t>
  </si>
  <si>
    <t>ClusteredBars3DStacked</t>
  </si>
  <si>
    <t>ClusteredBars3DStacked100</t>
  </si>
  <si>
    <t>ClusteredBarsStacked</t>
  </si>
  <si>
    <t>ClusteredBarsStacked100</t>
  </si>
  <si>
    <t>Bar3D</t>
  </si>
  <si>
    <t>Column Charts:</t>
  </si>
  <si>
    <t>ClusteredColumns</t>
  </si>
  <si>
    <t>ClusteredColumnsStacked</t>
  </si>
  <si>
    <t>ClusteredColumnsStacked100</t>
  </si>
  <si>
    <t>ClusteredColumns3D</t>
  </si>
  <si>
    <t>ClusteredColumns3DStacked</t>
  </si>
  <si>
    <t>ClusteredColumns3DStacked100</t>
  </si>
  <si>
    <t>Line Charts:</t>
  </si>
  <si>
    <t>LineWithMarkers</t>
  </si>
  <si>
    <t>LineWithMarkersStacked</t>
  </si>
  <si>
    <t>LineWithMarkersStacked100</t>
  </si>
  <si>
    <t>LineStacked</t>
  </si>
  <si>
    <t>LineStacked100</t>
  </si>
  <si>
    <t>Line3D</t>
  </si>
  <si>
    <t>Pie Charts:</t>
  </si>
  <si>
    <t>Pie</t>
  </si>
  <si>
    <t>Pie3D</t>
  </si>
  <si>
    <t>Scatter Charts:</t>
  </si>
  <si>
    <t>ScatterWithStraightLinesAndMarkers</t>
  </si>
  <si>
    <t>ScatterWithSmoothLinesAndMarkers</t>
  </si>
  <si>
    <t>Area Charts:</t>
  </si>
  <si>
    <t>Area</t>
  </si>
  <si>
    <t>AreaStacked</t>
  </si>
  <si>
    <t>AreaStacked100</t>
  </si>
  <si>
    <t>Area3D</t>
  </si>
  <si>
    <t>Area3DStacked</t>
  </si>
  <si>
    <t>Area3DStacked100</t>
  </si>
  <si>
    <t>Donut Charts:</t>
  </si>
  <si>
    <t>Doughnut</t>
  </si>
  <si>
    <t>Bubble Charts:</t>
  </si>
  <si>
    <t>Bubble</t>
  </si>
  <si>
    <t>Radar Charts:</t>
  </si>
  <si>
    <t>RadarFilled</t>
  </si>
  <si>
    <t>RadarWithMarkers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</si>
</sst>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yy"/>
    <numFmt numFmtId="165" formatCode="&quot;$&quot;#,##0"/>
    <numFmt numFmtId="166" formatCode="0.0%"/>
    <numFmt numFmtId="167" formatCode="m/d/yy\ h:mm\ AM/PM;@"/>
    <numFmt numFmtId="168" formatCode="&quot;$&quot;#,##0.00"/>
  </numFmts>
  <fonts count="65">
    <font>
      <sz val="11"/>
      <name val="Arial"/>
    </font>
    <font>
      <sz val="11"/>
      <name val="Arial"/>
      <family val="2"/>
    </font>
    <font>
      <sz val="10"/>
      <name val="Arial"/>
      <family val="2"/>
    </font>
    <font>
      <sz val="8"/>
      <color rgb="FF000000"/>
      <name val="Arial"/>
      <family val="2"/>
    </font>
    <font>
      <b/>
      <sz val="8"/>
      <color rgb="FF000000"/>
      <name val="Arial"/>
      <family val="2"/>
    </font>
    <font>
      <sz val="9"/>
      <color rgb="FF000000"/>
      <name val="Arial"/>
      <family val="2"/>
    </font>
    <font>
      <sz val="10"/>
      <color rgb="FF000000"/>
      <name val="Arial"/>
      <family val="2"/>
    </font>
    <font>
      <sz val="7"/>
      <color rgb="FF000000"/>
      <name val="Arial"/>
      <family val="2"/>
    </font>
    <font>
      <b/>
      <sz val="7"/>
      <color rgb="FFA6A6A6"/>
      <name val="Arial"/>
      <family val="2"/>
    </font>
    <font>
      <sz val="8"/>
      <color rgb="FF373B3D"/>
      <name val="Arial"/>
      <family val="2"/>
    </font>
    <font>
      <b/>
      <sz val="9"/>
      <color rgb="FF000000"/>
      <name val="Arial"/>
      <family val="2"/>
    </font>
    <font>
      <sz val="8"/>
      <name val="Arial"/>
      <family val="2"/>
    </font>
    <font>
      <sz val="11"/>
      <color rgb="FF000000"/>
      <name val="Arial"/>
      <family val="2"/>
    </font>
    <font>
      <sz val="9"/>
      <color rgb="FF000000"/>
      <name val="Tahoma"/>
      <family val="2"/>
    </font>
    <font>
      <b/>
      <u/>
      <sz val="9"/>
      <color rgb="FF000000"/>
      <name val="Arial"/>
      <family val="2"/>
    </font>
    <font>
      <sz val="12"/>
      <name val="Calibri"/>
      <family val="2"/>
    </font>
    <font>
      <sz val="11"/>
      <name val="Calibri"/>
      <family val="2"/>
    </font>
    <font>
      <b/>
      <sz val="11"/>
      <color rgb="FF000000"/>
      <name val="Arial"/>
      <family val="2"/>
    </font>
    <font>
      <b/>
      <sz val="18"/>
      <name val="Arial"/>
      <family val="2"/>
    </font>
    <font>
      <sz val="14"/>
      <color rgb="FF000000"/>
      <name val="Arial"/>
      <family val="2"/>
    </font>
    <font>
      <sz val="14"/>
      <color rgb="FFFFFFFF"/>
      <name val="Arial"/>
      <family val="2"/>
    </font>
    <font>
      <sz val="14"/>
      <color rgb="FFA6A6A6"/>
      <name val="Arial"/>
      <family val="2"/>
    </font>
    <font>
      <b/>
      <sz val="11"/>
      <name val="Arial"/>
      <family val="2"/>
    </font>
    <font>
      <b/>
      <sz val="10"/>
      <color rgb="FF000000"/>
      <name val="Arial"/>
      <family val="2"/>
    </font>
    <font>
      <sz val="8"/>
      <color rgb="FFFF0000"/>
      <name val="Arial"/>
      <family val="2"/>
    </font>
    <font>
      <b/>
      <sz val="8"/>
      <color rgb="FFFF0000"/>
      <name val="Arial"/>
      <family val="2"/>
    </font>
    <font>
      <b/>
      <u/>
      <sz val="8"/>
      <color rgb="FF000000"/>
      <name val="Arial"/>
      <family val="2"/>
    </font>
    <font>
      <b/>
      <sz val="14"/>
      <color rgb="FF000000"/>
      <name val="Arial"/>
      <family val="2"/>
    </font>
    <font>
      <b/>
      <sz val="9"/>
      <color rgb="FFFFFFFF"/>
      <name val="Arial"/>
      <family val="2"/>
    </font>
    <font>
      <sz val="12"/>
      <name val="Tahoma"/>
      <family val="2"/>
    </font>
    <font>
      <b/>
      <sz val="11"/>
      <color rgb="FFA6A6A6"/>
      <name val="Arial"/>
      <family val="2"/>
    </font>
    <font>
      <sz val="11"/>
      <color rgb="FF000000"/>
      <name val="Calibri"/>
      <family val="2"/>
    </font>
    <font>
      <sz val="8"/>
      <color rgb="FF000000"/>
      <name val="Calibri"/>
      <family val="2"/>
    </font>
    <font>
      <sz val="7"/>
      <color rgb="FF000000"/>
      <name val="Calibri"/>
      <family val="2"/>
    </font>
    <font>
      <b/>
      <sz val="7"/>
      <color rgb="FFA6A6A6"/>
      <name val="Calibri"/>
      <family val="2"/>
    </font>
    <font>
      <b/>
      <u/>
      <sz val="11"/>
      <color rgb="FF000000"/>
      <name val="Calibri"/>
      <family val="2"/>
    </font>
    <font>
      <b/>
      <sz val="11"/>
      <color rgb="FF000000"/>
      <name val="Calibri"/>
      <family val="2"/>
    </font>
    <font>
      <b/>
      <sz val="18"/>
      <color rgb="FF17375D"/>
      <name val="Calibri"/>
      <family val="2"/>
    </font>
    <font>
      <sz val="14"/>
      <color rgb="FF000000"/>
      <name val="Calibri"/>
      <family val="2"/>
    </font>
    <font>
      <sz val="14"/>
      <color rgb="FFA6A6A6"/>
      <name val="Calibri"/>
      <family val="2"/>
    </font>
    <font>
      <sz val="14"/>
      <name val="Calibri"/>
      <family val="2"/>
    </font>
    <font>
      <sz val="9"/>
      <name val="Tahoma"/>
      <family val="2"/>
    </font>
    <font>
      <b/>
      <sz val="8"/>
      <color rgb="FFFFFFFF"/>
      <name val="Arial"/>
      <family val="2"/>
    </font>
    <font>
      <b/>
      <sz val="8"/>
      <name val="Arial"/>
      <family val="2"/>
    </font>
    <font>
      <sz val="12"/>
      <color rgb="FF00B050"/>
      <name val="Arial"/>
      <family val="2"/>
    </font>
    <font>
      <b/>
      <sz val="16"/>
      <color rgb="FF17375D"/>
      <name val="Calibri"/>
      <family val="2"/>
    </font>
    <font>
      <b/>
      <sz val="12"/>
      <color rgb="FFFFFFFF"/>
      <name val="Calibri"/>
      <family val="2"/>
    </font>
    <font>
      <b/>
      <sz val="12"/>
      <color rgb="FF00B050"/>
      <name val="Calibri"/>
      <family val="2"/>
    </font>
    <font>
      <sz val="9"/>
      <name val="Arial"/>
      <family val="2"/>
    </font>
    <font>
      <b/>
      <sz val="12"/>
      <color rgb="FFC04F15"/>
      <name val="Arial"/>
      <family val="2"/>
    </font>
    <font>
      <sz val="6"/>
      <color rgb="FF000000"/>
      <name val="Arial"/>
      <family val="2"/>
    </font>
    <font>
      <sz val="6"/>
      <name val="Arial"/>
      <family val="2"/>
    </font>
    <font>
      <sz val="6"/>
      <color rgb="FF000000"/>
      <name val="Calibri"/>
      <family val="2"/>
    </font>
    <font>
      <sz val="6"/>
      <name val="Calibri"/>
      <family val="2"/>
    </font>
    <font>
      <b/>
      <sz val="11"/>
      <color rgb="FF002060"/>
      <name val="Calibri"/>
      <family val="2"/>
    </font>
    <font>
      <b/>
      <sz val="6"/>
      <color rgb="FF000000"/>
      <name val="Arial"/>
      <family val="2"/>
    </font>
    <font>
      <b/>
      <sz val="6"/>
      <color rgb="FF000000"/>
      <name val="Calibri"/>
      <family val="2"/>
    </font>
    <font>
      <b/>
      <sz val="6"/>
      <color rgb="FFFFFFFF"/>
      <name val="Calibri"/>
      <family val="2"/>
    </font>
    <font>
      <b/>
      <sz val="6"/>
      <color rgb="FFA6A6A6"/>
      <name val="Arial"/>
      <family val="2"/>
    </font>
    <font>
      <sz val="2"/>
      <name val="Arial"/>
      <family val="2"/>
    </font>
    <font>
      <b/>
      <sz val="2"/>
      <color rgb="FF000000"/>
      <name val="Arial"/>
      <family val="2"/>
    </font>
    <font>
      <b/>
      <sz val="6"/>
      <color rgb="FF17375D"/>
      <name val="Calibri"/>
      <family val="2"/>
    </font>
    <font>
      <b/>
      <sz val="6"/>
      <color rgb="FFA6A6A6"/>
      <name val="Calibri"/>
      <family val="2"/>
    </font>
    <font>
      <b/>
      <sz val="12"/>
      <color rgb="FF000000"/>
      <name val="Arial"/>
      <family val="2"/>
    </font>
    <font>
      <b/>
      <sz val="10"/>
      <color rgb="FFFFFFFF"/>
      <name val="Arial"/>
      <family val="2"/>
    </font>
  </fonts>
  <fills count="41">
    <fill>
      <patternFill patternType="none"/>
    </fill>
    <fill>
      <patternFill patternType="gray125"/>
    </fill>
    <fill>
      <patternFill patternType="none"/>
    </fill>
    <fill>
      <patternFill patternType="solid">
        <fgColor rgb="FFFFFFFF"/>
        <bgColor rgb="FFFFFFFF"/>
      </patternFill>
    </fill>
    <fill>
      <patternFill patternType="solid">
        <fgColor rgb="FFFFFF00"/>
        <bgColor rgb="FFFFFF00"/>
      </patternFill>
    </fill>
    <fill>
      <patternFill patternType="solid">
        <fgColor rgb="FFFFFFCC"/>
        <bgColor rgb="FFFFFFCC"/>
      </patternFill>
    </fill>
    <fill>
      <patternFill patternType="solid">
        <fgColor rgb="FFF2F2F2"/>
        <bgColor rgb="FFF2F2F2"/>
      </patternFill>
    </fill>
    <fill>
      <patternFill patternType="solid">
        <fgColor rgb="FFEDEDED"/>
        <bgColor rgb="FFEDEDED"/>
      </patternFill>
    </fill>
    <fill>
      <patternFill patternType="solid">
        <fgColor rgb="FFFFF2CC"/>
        <bgColor rgb="FFFFF2CC"/>
      </patternFill>
    </fill>
    <fill>
      <patternFill patternType="solid">
        <fgColor rgb="FFDEEBF7"/>
        <bgColor rgb="FFDEEBF7"/>
      </patternFill>
    </fill>
    <fill>
      <patternFill patternType="solid">
        <fgColor rgb="FFBDD7EE"/>
        <bgColor rgb="FFBDD7EE"/>
      </patternFill>
    </fill>
    <fill>
      <patternFill patternType="solid">
        <fgColor rgb="FF92D050"/>
        <bgColor rgb="FF92D050"/>
      </patternFill>
    </fill>
    <fill>
      <patternFill patternType="solid">
        <fgColor rgb="FFC5D9F1"/>
        <bgColor rgb="FFC5D9F1"/>
      </patternFill>
    </fill>
    <fill>
      <patternFill patternType="solid">
        <fgColor rgb="FFF4B183"/>
        <bgColor rgb="FFF4B183"/>
      </patternFill>
    </fill>
    <fill>
      <patternFill patternType="solid">
        <fgColor rgb="FF9DC3E6"/>
        <bgColor rgb="FF9DC3E6"/>
      </patternFill>
    </fill>
    <fill>
      <patternFill patternType="solid">
        <fgColor rgb="FF7B7B7B"/>
        <bgColor rgb="FF7B7B7B"/>
      </patternFill>
    </fill>
    <fill>
      <patternFill patternType="solid">
        <fgColor rgb="FFDAE3F3"/>
        <bgColor rgb="FFDAE3F3"/>
      </patternFill>
    </fill>
    <fill>
      <patternFill patternType="solid">
        <fgColor rgb="FFD9D9D9"/>
        <bgColor rgb="FFD9D9D9"/>
      </patternFill>
    </fill>
    <fill>
      <patternFill patternType="solid">
        <fgColor rgb="FFFBE5D6"/>
        <bgColor rgb="FFFBE5D6"/>
      </patternFill>
    </fill>
    <fill>
      <patternFill patternType="solid">
        <fgColor rgb="FFF8CBAD"/>
        <bgColor rgb="FFF8CBAD"/>
      </patternFill>
    </fill>
    <fill>
      <patternFill patternType="solid">
        <fgColor rgb="FFD0CECE"/>
        <bgColor rgb="FFD0CECE"/>
      </patternFill>
    </fill>
    <fill>
      <patternFill patternType="solid">
        <fgColor rgb="FFE2F0D9"/>
        <bgColor rgb="FFE2F0D9"/>
      </patternFill>
    </fill>
    <fill>
      <patternFill patternType="solid">
        <fgColor rgb="FF0070C0"/>
        <bgColor rgb="FF0070C0"/>
      </patternFill>
    </fill>
    <fill>
      <patternFill patternType="solid">
        <fgColor rgb="FF3A7D23"/>
        <bgColor rgb="FF3A7D23"/>
      </patternFill>
    </fill>
    <fill>
      <patternFill patternType="solid">
        <fgColor rgb="FFD1D1D1"/>
        <bgColor rgb="FFD1D1D1"/>
      </patternFill>
    </fill>
    <fill>
      <patternFill patternType="solid">
        <fgColor rgb="FF8C000C"/>
        <bgColor rgb="FF8C000C"/>
      </patternFill>
    </fill>
    <fill>
      <patternFill patternType="solid">
        <fgColor rgb="FFFBE3D6"/>
        <bgColor rgb="FFFBE3D6"/>
      </patternFill>
    </fill>
    <fill>
      <patternFill patternType="solid">
        <fgColor rgb="FFDCEAF7"/>
        <bgColor rgb="FFDCEAF7"/>
      </patternFill>
    </fill>
    <fill>
      <patternFill patternType="solid">
        <fgColor rgb="FFD9F2D0"/>
        <bgColor rgb="FFD9F2D0"/>
      </patternFill>
    </fill>
    <fill>
      <patternFill patternType="solid">
        <fgColor rgb="FFCAEDFB"/>
        <bgColor rgb="FFCAEDFB"/>
      </patternFill>
    </fill>
    <fill>
      <patternFill patternType="solid">
        <fgColor rgb="FFFF0000"/>
        <bgColor rgb="FFFF0000"/>
      </patternFill>
    </fill>
    <fill>
      <patternFill patternType="solid">
        <fgColor rgb="FF203864"/>
        <bgColor rgb="FF203864"/>
      </patternFill>
    </fill>
    <fill>
      <patternFill patternType="solid">
        <fgColor rgb="FFC1E5F5"/>
        <bgColor rgb="FFC1E5F5"/>
      </patternFill>
    </fill>
    <fill>
      <patternFill patternType="solid">
        <fgColor rgb="FFAEAEAE"/>
        <bgColor rgb="FFAEAEAE"/>
      </patternFill>
    </fill>
    <fill>
      <patternFill patternType="solid">
        <fgColor rgb="FFA6CAEC"/>
        <bgColor rgb="FFA6CAEC"/>
      </patternFill>
    </fill>
    <fill>
      <patternFill patternType="solid">
        <fgColor rgb="FFFFFECB"/>
        <bgColor rgb="FFFFFECB"/>
      </patternFill>
    </fill>
    <fill>
      <patternFill patternType="solid">
        <fgColor rgb="FFBFBFBF"/>
        <bgColor rgb="FFBFBFBF"/>
      </patternFill>
    </fill>
    <fill>
      <patternFill patternType="solid">
        <fgColor rgb="FFA4DDFF"/>
        <bgColor rgb="FFA4DDFF"/>
      </patternFill>
    </fill>
    <fill>
      <patternFill patternType="solid">
        <fgColor rgb="FF52868D"/>
        <bgColor rgb="FF52868D"/>
      </patternFill>
    </fill>
    <fill>
      <patternFill patternType="solid">
        <fgColor rgb="FF6AB0BA"/>
        <bgColor rgb="FF6AB0BA"/>
      </patternFill>
    </fill>
    <fill>
      <patternFill patternType="solid">
        <fgColor rgb="FF528683"/>
        <bgColor rgb="FF528683"/>
      </patternFill>
    </fill>
  </fills>
  <borders count="17">
    <border>
      <left/>
      <right/>
      <top/>
      <bottom/>
      <diagonal/>
    </border>
    <border>
      <left/>
      <right/>
      <top/>
      <bottom/>
      <diagonal/>
    </border>
    <border>
      <left/>
      <right style="thin">
        <color rgb="FFFFFFFF"/>
      </right>
      <top/>
      <bottom/>
      <diagonal/>
    </border>
    <border>
      <left/>
      <right/>
      <top style="thin">
        <color rgb="FFC9C9C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2060"/>
      </top>
      <bottom/>
      <diagonal/>
    </border>
  </borders>
  <cellStyleXfs count="1">
    <xf numFmtId="0" fontId="0" fillId="0" borderId="0"/>
  </cellStyleXfs>
  <cellXfs count="330">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10" fontId="3" fillId="2" borderId="1" xfId="0" applyNumberFormat="1"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xf numFmtId="164" fontId="3" fillId="2" borderId="1" xfId="0" applyNumberFormat="1" applyFont="1" applyFill="1" applyBorder="1"/>
    <xf numFmtId="165" fontId="3" fillId="2" borderId="1" xfId="0" applyNumberFormat="1" applyFont="1" applyFill="1" applyBorder="1" applyAlignment="1">
      <alignment horizontal="left"/>
    </xf>
    <xf numFmtId="0" fontId="3" fillId="2" borderId="1" xfId="0" applyFont="1" applyFill="1" applyBorder="1" applyAlignment="1">
      <alignment wrapText="1"/>
    </xf>
    <xf numFmtId="0" fontId="5" fillId="2" borderId="1" xfId="0" applyFont="1" applyFill="1" applyBorder="1"/>
    <xf numFmtId="0" fontId="6" fillId="2" borderId="1" xfId="0" applyFont="1" applyFill="1" applyBorder="1"/>
    <xf numFmtId="164" fontId="6" fillId="2" borderId="1" xfId="0" applyNumberFormat="1" applyFont="1" applyFill="1" applyBorder="1"/>
    <xf numFmtId="8" fontId="5" fillId="2" borderId="1" xfId="0" applyNumberFormat="1" applyFont="1" applyFill="1" applyBorder="1" applyAlignment="1">
      <alignment horizontal="right"/>
    </xf>
    <xf numFmtId="10" fontId="5" fillId="2" borderId="1" xfId="0" applyNumberFormat="1" applyFont="1" applyFill="1" applyBorder="1" applyAlignment="1">
      <alignment horizontal="right"/>
    </xf>
    <xf numFmtId="0" fontId="5" fillId="2" borderId="1" xfId="0" applyFont="1" applyFill="1" applyBorder="1" applyAlignment="1">
      <alignment horizontal="left"/>
    </xf>
    <xf numFmtId="0" fontId="7" fillId="2" borderId="1" xfId="0" applyFont="1" applyFill="1" applyBorder="1"/>
    <xf numFmtId="0" fontId="7" fillId="3" borderId="1" xfId="0" applyFont="1" applyFill="1" applyBorder="1" applyAlignment="1">
      <alignment horizontal="right"/>
    </xf>
    <xf numFmtId="0" fontId="8" fillId="3" borderId="1" xfId="0" applyFont="1" applyFill="1" applyBorder="1" applyAlignment="1">
      <alignment horizontal="center"/>
    </xf>
    <xf numFmtId="40" fontId="3" fillId="3" borderId="1" xfId="0" applyNumberFormat="1" applyFont="1" applyFill="1" applyBorder="1" applyAlignment="1">
      <alignment horizontal="left" wrapText="1"/>
    </xf>
    <xf numFmtId="0" fontId="4" fillId="4" borderId="1" xfId="0" applyFont="1" applyFill="1" applyBorder="1"/>
    <xf numFmtId="49" fontId="3" fillId="2" borderId="1" xfId="0" applyNumberFormat="1" applyFont="1" applyFill="1" applyBorder="1"/>
    <xf numFmtId="0" fontId="9" fillId="2" borderId="1" xfId="0" applyFont="1" applyFill="1" applyBorder="1" applyAlignment="1">
      <alignment horizontal="left"/>
    </xf>
    <xf numFmtId="166" fontId="3" fillId="5" borderId="1" xfId="0" applyNumberFormat="1" applyFont="1" applyFill="1" applyBorder="1" applyAlignment="1">
      <alignment horizontal="left"/>
    </xf>
    <xf numFmtId="0" fontId="4" fillId="2" borderId="1" xfId="0" applyFont="1" applyFill="1" applyBorder="1" applyAlignment="1">
      <alignment wrapText="1"/>
    </xf>
    <xf numFmtId="165" fontId="3" fillId="2" borderId="1" xfId="0" applyNumberFormat="1" applyFont="1" applyFill="1" applyBorder="1" applyAlignment="1">
      <alignment horizontal="right"/>
    </xf>
    <xf numFmtId="37" fontId="3" fillId="2" borderId="1" xfId="0" applyNumberFormat="1" applyFont="1" applyFill="1" applyBorder="1" applyAlignment="1">
      <alignment horizontal="center"/>
    </xf>
    <xf numFmtId="0" fontId="3" fillId="5" borderId="1" xfId="0" applyFont="1" applyFill="1" applyBorder="1"/>
    <xf numFmtId="0" fontId="10" fillId="2" borderId="1" xfId="0" applyFont="1" applyFill="1" applyBorder="1" applyAlignment="1">
      <alignment horizontal="right"/>
    </xf>
    <xf numFmtId="8" fontId="10" fillId="2" borderId="1" xfId="0" applyNumberFormat="1" applyFont="1" applyFill="1" applyBorder="1" applyAlignment="1">
      <alignment horizontal="right"/>
    </xf>
    <xf numFmtId="10" fontId="10" fillId="2" borderId="1" xfId="0" applyNumberFormat="1" applyFont="1" applyFill="1" applyBorder="1" applyAlignment="1">
      <alignment horizontal="right"/>
    </xf>
    <xf numFmtId="0" fontId="3" fillId="3" borderId="1" xfId="0" applyFont="1" applyFill="1" applyBorder="1" applyAlignment="1">
      <alignment horizontal="left"/>
    </xf>
    <xf numFmtId="0" fontId="11" fillId="2" borderId="1" xfId="0" applyFont="1" applyFill="1" applyBorder="1"/>
    <xf numFmtId="40" fontId="12" fillId="3" borderId="1" xfId="0" applyNumberFormat="1" applyFont="1" applyFill="1" applyBorder="1" applyAlignment="1">
      <alignment horizontal="right" wrapText="1"/>
    </xf>
    <xf numFmtId="6" fontId="3" fillId="2" borderId="1" xfId="0" applyNumberFormat="1" applyFont="1" applyFill="1" applyBorder="1" applyAlignment="1">
      <alignment horizontal="left"/>
    </xf>
    <xf numFmtId="2" fontId="13" fillId="2" borderId="1" xfId="0" applyNumberFormat="1" applyFont="1" applyFill="1" applyBorder="1" applyAlignment="1">
      <alignment horizontal="left"/>
    </xf>
    <xf numFmtId="0" fontId="14" fillId="6" borderId="1" xfId="0" applyFont="1" applyFill="1" applyBorder="1" applyAlignment="1">
      <alignment horizontal="left" wrapText="1"/>
    </xf>
    <xf numFmtId="167" fontId="2" fillId="2" borderId="1" xfId="0" applyNumberFormat="1" applyFont="1" applyFill="1" applyBorder="1"/>
    <xf numFmtId="0" fontId="15" fillId="2" borderId="1" xfId="0" applyFont="1" applyFill="1" applyBorder="1"/>
    <xf numFmtId="0" fontId="16" fillId="2" borderId="1" xfId="0" applyFont="1" applyFill="1" applyBorder="1"/>
    <xf numFmtId="0" fontId="12" fillId="3" borderId="1" xfId="0" applyFont="1" applyFill="1" applyBorder="1" applyAlignment="1">
      <alignment horizontal="left"/>
    </xf>
    <xf numFmtId="0" fontId="17" fillId="3" borderId="1" xfId="0" applyFont="1" applyFill="1" applyBorder="1" applyAlignment="1">
      <alignment horizontal="left" wrapText="1"/>
    </xf>
    <xf numFmtId="8" fontId="12" fillId="3" borderId="1" xfId="0" applyNumberFormat="1" applyFont="1" applyFill="1" applyBorder="1" applyAlignment="1">
      <alignment horizontal="left"/>
    </xf>
    <xf numFmtId="0" fontId="18" fillId="3" borderId="1" xfId="0" applyFont="1" applyFill="1" applyBorder="1" applyAlignment="1">
      <alignment horizontal="left"/>
    </xf>
    <xf numFmtId="0" fontId="17" fillId="2" borderId="1" xfId="0" applyFont="1" applyFill="1" applyBorder="1" applyAlignment="1">
      <alignment horizontal="left" wrapText="1"/>
    </xf>
    <xf numFmtId="0" fontId="12" fillId="2" borderId="1" xfId="0" applyFont="1" applyFill="1" applyBorder="1" applyAlignment="1">
      <alignment horizontal="left"/>
    </xf>
    <xf numFmtId="10" fontId="12" fillId="2" borderId="1" xfId="0" applyNumberFormat="1" applyFont="1" applyFill="1" applyBorder="1" applyAlignment="1">
      <alignment horizontal="left"/>
    </xf>
    <xf numFmtId="0" fontId="19" fillId="2" borderId="1" xfId="0" applyFont="1" applyFill="1" applyBorder="1" applyAlignment="1">
      <alignment horizontal="left"/>
    </xf>
    <xf numFmtId="0" fontId="20" fillId="2" borderId="1" xfId="0" applyFont="1" applyFill="1" applyBorder="1" applyAlignment="1">
      <alignment horizontal="left"/>
    </xf>
    <xf numFmtId="0" fontId="19" fillId="2" borderId="1" xfId="0" applyFont="1" applyFill="1" applyBorder="1" applyAlignment="1">
      <alignment horizontal="left" wrapText="1"/>
    </xf>
    <xf numFmtId="8" fontId="19" fillId="2" borderId="1" xfId="0" applyNumberFormat="1" applyFont="1" applyFill="1" applyBorder="1" applyAlignment="1">
      <alignment horizontal="left"/>
    </xf>
    <xf numFmtId="0" fontId="19" fillId="3" borderId="1" xfId="0" applyFont="1" applyFill="1" applyBorder="1" applyAlignment="1">
      <alignment horizontal="left"/>
    </xf>
    <xf numFmtId="0" fontId="21" fillId="2" borderId="1" xfId="0" applyFont="1" applyFill="1" applyBorder="1" applyAlignment="1">
      <alignment horizontal="left"/>
    </xf>
    <xf numFmtId="0" fontId="2" fillId="7" borderId="1" xfId="0" applyFont="1" applyFill="1" applyBorder="1" applyAlignment="1">
      <alignment wrapText="1"/>
    </xf>
    <xf numFmtId="0" fontId="2" fillId="8" borderId="1" xfId="0" applyFont="1" applyFill="1" applyBorder="1" applyAlignment="1">
      <alignment wrapText="1"/>
    </xf>
    <xf numFmtId="0" fontId="1" fillId="9" borderId="1" xfId="0" applyFont="1" applyFill="1" applyBorder="1"/>
    <xf numFmtId="0" fontId="22" fillId="9" borderId="1" xfId="0" applyFont="1" applyFill="1" applyBorder="1"/>
    <xf numFmtId="0" fontId="23" fillId="4" borderId="1" xfId="0" applyFont="1" applyFill="1" applyBorder="1" applyAlignment="1">
      <alignment wrapText="1"/>
    </xf>
    <xf numFmtId="0" fontId="23" fillId="10" borderId="1" xfId="0" applyFont="1" applyFill="1" applyBorder="1" applyAlignment="1">
      <alignment wrapText="1"/>
    </xf>
    <xf numFmtId="0" fontId="23" fillId="11" borderId="1" xfId="0" applyFont="1" applyFill="1" applyBorder="1" applyAlignment="1">
      <alignment wrapText="1"/>
    </xf>
    <xf numFmtId="0" fontId="23" fillId="12" borderId="1" xfId="0" applyFont="1" applyFill="1" applyBorder="1" applyAlignment="1">
      <alignment wrapText="1"/>
    </xf>
    <xf numFmtId="49" fontId="23" fillId="13" borderId="1" xfId="0" applyNumberFormat="1" applyFont="1" applyFill="1" applyBorder="1" applyAlignment="1">
      <alignment wrapText="1"/>
    </xf>
    <xf numFmtId="49" fontId="23" fillId="12" borderId="1" xfId="0" applyNumberFormat="1" applyFont="1" applyFill="1" applyBorder="1" applyAlignment="1">
      <alignment wrapText="1"/>
    </xf>
    <xf numFmtId="49" fontId="23" fillId="11" borderId="1" xfId="0" applyNumberFormat="1" applyFont="1" applyFill="1" applyBorder="1" applyAlignment="1">
      <alignment wrapText="1"/>
    </xf>
    <xf numFmtId="0" fontId="24" fillId="2" borderId="1" xfId="0" applyFont="1" applyFill="1" applyBorder="1"/>
    <xf numFmtId="0" fontId="24" fillId="2" borderId="1" xfId="0" applyFont="1" applyFill="1" applyBorder="1" applyAlignment="1">
      <alignment horizontal="left"/>
    </xf>
    <xf numFmtId="3" fontId="25" fillId="2" borderId="1" xfId="0" applyNumberFormat="1" applyFont="1" applyFill="1" applyBorder="1" applyAlignment="1">
      <alignment horizontal="left"/>
    </xf>
    <xf numFmtId="0" fontId="24" fillId="2" borderId="1" xfId="0" applyFont="1" applyFill="1" applyBorder="1" applyAlignment="1">
      <alignment horizontal="center"/>
    </xf>
    <xf numFmtId="0" fontId="4" fillId="2" borderId="1" xfId="0" applyFont="1" applyFill="1" applyBorder="1" applyAlignment="1">
      <alignment horizontal="center" wrapText="1"/>
    </xf>
    <xf numFmtId="0" fontId="26" fillId="2" borderId="1" xfId="0" applyFont="1" applyFill="1" applyBorder="1" applyAlignment="1">
      <alignment horizontal="center"/>
    </xf>
    <xf numFmtId="3" fontId="4" fillId="2" borderId="1" xfId="0" applyNumberFormat="1" applyFont="1" applyFill="1" applyBorder="1" applyAlignment="1">
      <alignment horizontal="center"/>
    </xf>
    <xf numFmtId="6" fontId="4" fillId="2" borderId="1" xfId="0" applyNumberFormat="1" applyFont="1" applyFill="1" applyBorder="1" applyAlignment="1">
      <alignment horizontal="left"/>
    </xf>
    <xf numFmtId="165" fontId="3" fillId="5" borderId="1" xfId="0" applyNumberFormat="1" applyFont="1" applyFill="1" applyBorder="1" applyAlignment="1">
      <alignment horizontal="left"/>
    </xf>
    <xf numFmtId="0" fontId="27" fillId="14" borderId="1" xfId="0" applyFont="1" applyFill="1" applyBorder="1" applyAlignment="1">
      <alignment wrapText="1"/>
    </xf>
    <xf numFmtId="0" fontId="5" fillId="14" borderId="1" xfId="0" applyFont="1" applyFill="1" applyBorder="1"/>
    <xf numFmtId="0" fontId="10" fillId="14" borderId="1" xfId="0" applyFont="1" applyFill="1" applyBorder="1" applyAlignment="1">
      <alignment horizontal="center"/>
    </xf>
    <xf numFmtId="0" fontId="28" fillId="15" borderId="2" xfId="0" applyFont="1" applyFill="1" applyBorder="1" applyAlignment="1">
      <alignment wrapText="1"/>
    </xf>
    <xf numFmtId="0" fontId="16" fillId="2" borderId="3" xfId="0" applyFont="1" applyFill="1" applyBorder="1"/>
    <xf numFmtId="0" fontId="11" fillId="2" borderId="1" xfId="0" applyFont="1" applyFill="1" applyBorder="1" applyAlignment="1">
      <alignment horizontal="left"/>
    </xf>
    <xf numFmtId="0" fontId="29" fillId="2" borderId="1" xfId="0" applyFont="1" applyFill="1" applyBorder="1"/>
    <xf numFmtId="0" fontId="15" fillId="2" borderId="1" xfId="0" applyFont="1" applyFill="1" applyBorder="1" applyAlignment="1">
      <alignment horizontal="left"/>
    </xf>
    <xf numFmtId="0" fontId="15" fillId="16" borderId="1" xfId="0" applyFont="1" applyFill="1" applyBorder="1"/>
    <xf numFmtId="0" fontId="15" fillId="16" borderId="1" xfId="0" applyFont="1" applyFill="1" applyBorder="1" applyAlignment="1">
      <alignment horizontal="right"/>
    </xf>
    <xf numFmtId="0" fontId="3" fillId="16" borderId="1" xfId="0" applyFont="1" applyFill="1" applyBorder="1"/>
    <xf numFmtId="0" fontId="27" fillId="17" borderId="1" xfId="0" applyFont="1" applyFill="1" applyBorder="1" applyAlignment="1">
      <alignment horizontal="center"/>
    </xf>
    <xf numFmtId="9" fontId="4" fillId="2" borderId="1" xfId="0" applyNumberFormat="1" applyFont="1" applyFill="1" applyBorder="1" applyAlignment="1">
      <alignment horizontal="center"/>
    </xf>
    <xf numFmtId="0" fontId="4" fillId="2" borderId="1" xfId="0" applyFont="1" applyFill="1" applyBorder="1" applyAlignment="1">
      <alignment horizontal="center"/>
    </xf>
    <xf numFmtId="0" fontId="10" fillId="17" borderId="1" xfId="0" applyFont="1" applyFill="1" applyBorder="1" applyAlignment="1">
      <alignment horizontal="center"/>
    </xf>
    <xf numFmtId="10" fontId="10" fillId="17" borderId="1" xfId="0" applyNumberFormat="1" applyFont="1" applyFill="1" applyBorder="1" applyAlignment="1">
      <alignment horizontal="left"/>
    </xf>
    <xf numFmtId="10" fontId="5" fillId="17" borderId="1" xfId="0" applyNumberFormat="1" applyFont="1" applyFill="1" applyBorder="1" applyAlignment="1">
      <alignment horizontal="right"/>
    </xf>
    <xf numFmtId="0" fontId="10" fillId="18" borderId="1" xfId="0" applyFont="1" applyFill="1" applyBorder="1" applyAlignment="1">
      <alignment horizontal="center"/>
    </xf>
    <xf numFmtId="0" fontId="10" fillId="18" borderId="1" xfId="0" applyFont="1" applyFill="1" applyBorder="1" applyAlignment="1">
      <alignment horizontal="center" wrapText="1"/>
    </xf>
    <xf numFmtId="168" fontId="10" fillId="6" borderId="1" xfId="0" applyNumberFormat="1" applyFont="1" applyFill="1" applyBorder="1" applyAlignment="1">
      <alignment horizontal="center"/>
    </xf>
    <xf numFmtId="10" fontId="10" fillId="6" borderId="1" xfId="0" applyNumberFormat="1" applyFont="1" applyFill="1" applyBorder="1" applyAlignment="1">
      <alignment horizontal="center"/>
    </xf>
    <xf numFmtId="8" fontId="5" fillId="2" borderId="1" xfId="0" applyNumberFormat="1" applyFont="1" applyFill="1" applyBorder="1" applyAlignment="1">
      <alignment horizontal="center"/>
    </xf>
    <xf numFmtId="10" fontId="5" fillId="2" borderId="1" xfId="0" applyNumberFormat="1" applyFont="1" applyFill="1" applyBorder="1" applyAlignment="1">
      <alignment horizontal="center"/>
    </xf>
    <xf numFmtId="0" fontId="10" fillId="16" borderId="1" xfId="0" applyFont="1" applyFill="1" applyBorder="1" applyAlignment="1">
      <alignment wrapText="1"/>
    </xf>
    <xf numFmtId="0" fontId="10" fillId="18" borderId="1" xfId="0" applyFont="1" applyFill="1" applyBorder="1" applyAlignment="1">
      <alignment wrapText="1"/>
    </xf>
    <xf numFmtId="167" fontId="1" fillId="2" borderId="1" xfId="0" applyNumberFormat="1" applyFont="1" applyFill="1" applyBorder="1"/>
    <xf numFmtId="14" fontId="6" fillId="2" borderId="1" xfId="0" applyNumberFormat="1" applyFont="1" applyFill="1" applyBorder="1"/>
    <xf numFmtId="164" fontId="3" fillId="2" borderId="1" xfId="0" applyNumberFormat="1" applyFont="1" applyFill="1" applyBorder="1" applyAlignment="1">
      <alignment horizontal="left"/>
    </xf>
    <xf numFmtId="0" fontId="4" fillId="5" borderId="4" xfId="0" applyFont="1" applyFill="1" applyBorder="1" applyAlignment="1">
      <alignment horizontal="left"/>
    </xf>
    <xf numFmtId="6" fontId="4" fillId="5" borderId="4" xfId="0" applyNumberFormat="1" applyFont="1" applyFill="1" applyBorder="1" applyAlignment="1">
      <alignment horizontal="center"/>
    </xf>
    <xf numFmtId="0" fontId="12" fillId="3" borderId="1" xfId="0" applyFont="1" applyFill="1" applyBorder="1" applyAlignment="1">
      <alignment horizontal="right"/>
    </xf>
    <xf numFmtId="0" fontId="30" fillId="3" borderId="1" xfId="0" applyFont="1" applyFill="1" applyBorder="1" applyAlignment="1">
      <alignment horizontal="center"/>
    </xf>
    <xf numFmtId="0" fontId="31" fillId="3" borderId="1" xfId="0" applyFont="1" applyFill="1" applyBorder="1" applyAlignment="1">
      <alignment horizontal="center"/>
    </xf>
    <xf numFmtId="8" fontId="31" fillId="3" borderId="1" xfId="0" applyNumberFormat="1" applyFont="1" applyFill="1" applyBorder="1" applyAlignment="1">
      <alignment horizontal="center"/>
    </xf>
    <xf numFmtId="10" fontId="31" fillId="3" borderId="1" xfId="0" applyNumberFormat="1" applyFont="1" applyFill="1" applyBorder="1" applyAlignment="1">
      <alignment horizontal="center"/>
    </xf>
    <xf numFmtId="40" fontId="32" fillId="3" borderId="1" xfId="0" applyNumberFormat="1" applyFont="1" applyFill="1" applyBorder="1" applyAlignment="1">
      <alignment horizontal="left" wrapText="1"/>
    </xf>
    <xf numFmtId="0" fontId="33" fillId="3" borderId="1" xfId="0" applyFont="1" applyFill="1" applyBorder="1" applyAlignment="1">
      <alignment horizontal="right"/>
    </xf>
    <xf numFmtId="0" fontId="34" fillId="3" borderId="1" xfId="0" applyFont="1" applyFill="1" applyBorder="1" applyAlignment="1">
      <alignment horizontal="center"/>
    </xf>
    <xf numFmtId="40" fontId="31" fillId="3" borderId="1" xfId="0" applyNumberFormat="1" applyFont="1" applyFill="1" applyBorder="1" applyAlignment="1">
      <alignment horizontal="right" wrapText="1"/>
    </xf>
    <xf numFmtId="0" fontId="35" fillId="3" borderId="5" xfId="0" applyFont="1" applyFill="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1" fillId="3" borderId="8" xfId="0" applyFont="1" applyFill="1" applyBorder="1" applyAlignment="1">
      <alignment horizontal="center"/>
    </xf>
    <xf numFmtId="0" fontId="31" fillId="3" borderId="9" xfId="0" applyFont="1" applyFill="1" applyBorder="1" applyAlignment="1">
      <alignment horizontal="center"/>
    </xf>
    <xf numFmtId="0" fontId="36" fillId="3" borderId="8" xfId="0" applyFont="1" applyFill="1" applyBorder="1" applyAlignment="1">
      <alignment horizontal="left"/>
    </xf>
    <xf numFmtId="0" fontId="36" fillId="3" borderId="10" xfId="0" applyFont="1" applyFill="1" applyBorder="1" applyAlignment="1">
      <alignment horizontal="left"/>
    </xf>
    <xf numFmtId="0" fontId="31" fillId="3" borderId="11" xfId="0" applyFont="1" applyFill="1" applyBorder="1" applyAlignment="1">
      <alignment horizontal="center"/>
    </xf>
    <xf numFmtId="0" fontId="36" fillId="3" borderId="12" xfId="0" applyFont="1" applyFill="1" applyBorder="1"/>
    <xf numFmtId="0" fontId="36" fillId="3" borderId="8" xfId="0" applyFont="1" applyFill="1" applyBorder="1" applyAlignment="1">
      <alignment horizontal="left" wrapText="1"/>
    </xf>
    <xf numFmtId="0" fontId="31" fillId="3" borderId="9" xfId="0" applyFont="1" applyFill="1" applyBorder="1"/>
    <xf numFmtId="0" fontId="36" fillId="3" borderId="10" xfId="0" applyFont="1" applyFill="1" applyBorder="1" applyAlignment="1">
      <alignment horizontal="left" wrapText="1"/>
    </xf>
    <xf numFmtId="8" fontId="31" fillId="3" borderId="11" xfId="0" applyNumberFormat="1" applyFont="1" applyFill="1" applyBorder="1" applyAlignment="1">
      <alignment horizontal="center"/>
    </xf>
    <xf numFmtId="0" fontId="31" fillId="3" borderId="12" xfId="0" applyFont="1" applyFill="1" applyBorder="1"/>
    <xf numFmtId="0" fontId="36" fillId="3" borderId="9" xfId="0" applyFont="1" applyFill="1" applyBorder="1"/>
    <xf numFmtId="0" fontId="37" fillId="3" borderId="1" xfId="0" applyFont="1" applyFill="1" applyBorder="1" applyAlignment="1">
      <alignment horizontal="center"/>
    </xf>
    <xf numFmtId="0" fontId="38" fillId="3" borderId="1" xfId="0" applyFont="1" applyFill="1" applyBorder="1" applyAlignment="1">
      <alignment horizontal="left"/>
    </xf>
    <xf numFmtId="0" fontId="39" fillId="3" borderId="1" xfId="0" applyFont="1" applyFill="1" applyBorder="1" applyAlignment="1">
      <alignment horizontal="left"/>
    </xf>
    <xf numFmtId="0" fontId="40" fillId="3" borderId="1" xfId="0" applyFont="1" applyFill="1" applyBorder="1" applyAlignment="1">
      <alignment horizontal="left"/>
    </xf>
    <xf numFmtId="0" fontId="4" fillId="8" borderId="1" xfId="0" applyFont="1" applyFill="1" applyBorder="1"/>
    <xf numFmtId="0" fontId="4" fillId="8" borderId="1" xfId="0" applyFont="1" applyFill="1" applyBorder="1" applyAlignment="1">
      <alignment horizontal="center"/>
    </xf>
    <xf numFmtId="2" fontId="5" fillId="2" borderId="1" xfId="0" applyNumberFormat="1" applyFont="1" applyFill="1" applyBorder="1" applyAlignment="1">
      <alignment horizontal="left"/>
    </xf>
    <xf numFmtId="0" fontId="4" fillId="2" borderId="1" xfId="0" applyFont="1" applyFill="1" applyBorder="1" applyAlignment="1">
      <alignment horizontal="left" wrapText="1"/>
    </xf>
    <xf numFmtId="165" fontId="4" fillId="19" borderId="1" xfId="0" applyNumberFormat="1" applyFont="1" applyFill="1" applyBorder="1" applyAlignment="1">
      <alignment horizontal="center"/>
    </xf>
    <xf numFmtId="0" fontId="4" fillId="19" borderId="1" xfId="0" applyFont="1" applyFill="1" applyBorder="1" applyAlignment="1">
      <alignment horizontal="center"/>
    </xf>
    <xf numFmtId="0" fontId="4" fillId="20" borderId="1" xfId="0" applyFont="1" applyFill="1" applyBorder="1" applyAlignment="1">
      <alignment horizontal="center" vertical="top"/>
    </xf>
    <xf numFmtId="0" fontId="4" fillId="20" borderId="1" xfId="0" applyFont="1" applyFill="1" applyBorder="1" applyAlignment="1">
      <alignment horizontal="center" vertical="top" wrapText="1"/>
    </xf>
    <xf numFmtId="0" fontId="4" fillId="21" borderId="1" xfId="0" applyFont="1" applyFill="1" applyBorder="1" applyAlignment="1">
      <alignment horizontal="center" vertical="top" wrapText="1"/>
    </xf>
    <xf numFmtId="165" fontId="4" fillId="20" borderId="1" xfId="0" applyNumberFormat="1" applyFont="1" applyFill="1" applyBorder="1" applyAlignment="1">
      <alignment horizontal="center" vertical="top" wrapText="1"/>
    </xf>
    <xf numFmtId="10" fontId="26" fillId="2" borderId="1" xfId="0" applyNumberFormat="1" applyFont="1" applyFill="1" applyBorder="1" applyAlignment="1">
      <alignment horizontal="center"/>
    </xf>
    <xf numFmtId="10" fontId="4" fillId="2" borderId="1" xfId="0" applyNumberFormat="1" applyFont="1" applyFill="1" applyBorder="1" applyAlignment="1">
      <alignment horizontal="left"/>
    </xf>
    <xf numFmtId="10" fontId="4" fillId="2" borderId="1" xfId="0" applyNumberFormat="1" applyFont="1" applyFill="1" applyBorder="1" applyAlignment="1">
      <alignment horizontal="center"/>
    </xf>
    <xf numFmtId="10" fontId="3" fillId="5" borderId="1" xfId="0" applyNumberFormat="1" applyFont="1" applyFill="1" applyBorder="1" applyAlignment="1">
      <alignment horizontal="left" wrapText="1"/>
    </xf>
    <xf numFmtId="166" fontId="3" fillId="5" borderId="1" xfId="0" applyNumberFormat="1" applyFont="1" applyFill="1" applyBorder="1" applyAlignment="1">
      <alignment horizontal="left" wrapText="1"/>
    </xf>
    <xf numFmtId="3" fontId="3" fillId="2" borderId="1" xfId="0" applyNumberFormat="1" applyFont="1" applyFill="1" applyBorder="1" applyAlignment="1">
      <alignment horizontal="left"/>
    </xf>
    <xf numFmtId="0" fontId="41" fillId="2" borderId="1" xfId="0" applyFont="1" applyFill="1" applyBorder="1"/>
    <xf numFmtId="166" fontId="41" fillId="2" borderId="1" xfId="0" applyNumberFormat="1" applyFont="1" applyFill="1" applyBorder="1" applyAlignment="1">
      <alignment horizontal="right"/>
    </xf>
    <xf numFmtId="0" fontId="3" fillId="5" borderId="1" xfId="0" applyFont="1" applyFill="1" applyBorder="1" applyAlignment="1">
      <alignment horizontal="left"/>
    </xf>
    <xf numFmtId="3" fontId="3" fillId="2" borderId="1" xfId="0" applyNumberFormat="1" applyFont="1" applyFill="1" applyBorder="1" applyAlignment="1">
      <alignment horizontal="right"/>
    </xf>
    <xf numFmtId="0" fontId="3" fillId="22" borderId="1" xfId="0" applyFont="1" applyFill="1" applyBorder="1"/>
    <xf numFmtId="0" fontId="42" fillId="22" borderId="1" xfId="0" applyFont="1" applyFill="1" applyBorder="1" applyAlignment="1">
      <alignment horizontal="center" vertical="top" wrapText="1"/>
    </xf>
    <xf numFmtId="0" fontId="42" fillId="23" borderId="1" xfId="0" applyFont="1" applyFill="1" applyBorder="1" applyAlignment="1">
      <alignment horizontal="center" vertical="top" wrapText="1"/>
    </xf>
    <xf numFmtId="0" fontId="4" fillId="24" borderId="1" xfId="0" applyFont="1" applyFill="1" applyBorder="1" applyAlignment="1">
      <alignment horizontal="center" vertical="top" wrapText="1"/>
    </xf>
    <xf numFmtId="3" fontId="4" fillId="24" borderId="1" xfId="0" applyNumberFormat="1" applyFont="1" applyFill="1" applyBorder="1" applyAlignment="1">
      <alignment horizontal="center" vertical="top" wrapText="1"/>
    </xf>
    <xf numFmtId="0" fontId="42" fillId="25" borderId="1" xfId="0" applyFont="1" applyFill="1" applyBorder="1" applyAlignment="1">
      <alignment horizontal="center" vertical="top" wrapText="1"/>
    </xf>
    <xf numFmtId="9" fontId="3" fillId="2" borderId="1" xfId="0" applyNumberFormat="1" applyFont="1" applyFill="1" applyBorder="1" applyAlignment="1">
      <alignment horizontal="right"/>
    </xf>
    <xf numFmtId="165" fontId="42" fillId="25" borderId="1" xfId="0" applyNumberFormat="1" applyFont="1" applyFill="1" applyBorder="1" applyAlignment="1">
      <alignment horizontal="center" vertical="top" wrapText="1"/>
    </xf>
    <xf numFmtId="10" fontId="3" fillId="26" borderId="1" xfId="0" applyNumberFormat="1" applyFont="1" applyFill="1" applyBorder="1" applyAlignment="1">
      <alignment horizontal="left"/>
    </xf>
    <xf numFmtId="165" fontId="3" fillId="26" borderId="1" xfId="0" applyNumberFormat="1" applyFont="1" applyFill="1" applyBorder="1" applyAlignment="1">
      <alignment horizontal="left"/>
    </xf>
    <xf numFmtId="9" fontId="3" fillId="5" borderId="1" xfId="0" applyNumberFormat="1" applyFont="1" applyFill="1" applyBorder="1" applyAlignment="1">
      <alignment horizontal="left"/>
    </xf>
    <xf numFmtId="168" fontId="11" fillId="2" borderId="1" xfId="0" applyNumberFormat="1" applyFont="1" applyFill="1" applyBorder="1" applyAlignment="1">
      <alignment horizontal="right"/>
    </xf>
    <xf numFmtId="0" fontId="4" fillId="27" borderId="1" xfId="0" applyFont="1" applyFill="1" applyBorder="1" applyAlignment="1">
      <alignment horizontal="center" vertical="top" wrapText="1"/>
    </xf>
    <xf numFmtId="165" fontId="4" fillId="24" borderId="1" xfId="0" applyNumberFormat="1" applyFont="1" applyFill="1" applyBorder="1" applyAlignment="1">
      <alignment horizontal="center" vertical="top" wrapText="1"/>
    </xf>
    <xf numFmtId="3" fontId="11" fillId="2" borderId="1" xfId="0" applyNumberFormat="1" applyFont="1" applyFill="1" applyBorder="1" applyAlignment="1">
      <alignment horizontal="left"/>
    </xf>
    <xf numFmtId="10" fontId="43" fillId="2" borderId="1" xfId="0" applyNumberFormat="1" applyFont="1" applyFill="1" applyBorder="1" applyAlignment="1">
      <alignment horizontal="center"/>
    </xf>
    <xf numFmtId="3" fontId="43" fillId="2" borderId="1" xfId="0" applyNumberFormat="1" applyFont="1" applyFill="1" applyBorder="1" applyAlignment="1">
      <alignment horizontal="center"/>
    </xf>
    <xf numFmtId="3" fontId="3" fillId="26" borderId="1" xfId="0" applyNumberFormat="1" applyFont="1" applyFill="1" applyBorder="1" applyAlignment="1">
      <alignment horizontal="left"/>
    </xf>
    <xf numFmtId="0" fontId="28" fillId="22" borderId="1" xfId="0" applyFont="1" applyFill="1" applyBorder="1" applyAlignment="1">
      <alignment wrapText="1"/>
    </xf>
    <xf numFmtId="0" fontId="28" fillId="25" borderId="1" xfId="0" applyFont="1" applyFill="1" applyBorder="1" applyAlignment="1">
      <alignment horizontal="left" wrapText="1"/>
    </xf>
    <xf numFmtId="0" fontId="23" fillId="28" borderId="1" xfId="0" applyFont="1" applyFill="1" applyBorder="1" applyAlignment="1">
      <alignment horizontal="center"/>
    </xf>
    <xf numFmtId="0" fontId="10" fillId="29" borderId="1" xfId="0" applyFont="1" applyFill="1" applyBorder="1" applyAlignment="1">
      <alignment horizontal="center"/>
    </xf>
    <xf numFmtId="0" fontId="10" fillId="28" borderId="1" xfId="0" applyFont="1" applyFill="1" applyBorder="1" applyAlignment="1">
      <alignment horizontal="center" wrapText="1"/>
    </xf>
    <xf numFmtId="0" fontId="4" fillId="19" borderId="1" xfId="0" applyFont="1" applyFill="1" applyBorder="1" applyAlignment="1">
      <alignment wrapText="1"/>
    </xf>
    <xf numFmtId="0" fontId="43" fillId="2" borderId="1" xfId="0" applyFont="1" applyFill="1" applyBorder="1"/>
    <xf numFmtId="0" fontId="42" fillId="23" borderId="1" xfId="0" applyFont="1" applyFill="1" applyBorder="1" applyAlignment="1">
      <alignment horizontal="center"/>
    </xf>
    <xf numFmtId="164" fontId="5" fillId="2" borderId="1" xfId="0" applyNumberFormat="1" applyFont="1" applyFill="1" applyBorder="1"/>
    <xf numFmtId="164" fontId="2" fillId="2" borderId="1" xfId="0" applyNumberFormat="1" applyFont="1" applyFill="1" applyBorder="1" applyAlignment="1">
      <alignment horizontal="left"/>
    </xf>
    <xf numFmtId="0" fontId="48" fillId="2" borderId="1" xfId="0" applyFont="1" applyFill="1" applyBorder="1"/>
    <xf numFmtId="9" fontId="3" fillId="2" borderId="1" xfId="0" applyNumberFormat="1" applyFont="1" applyFill="1" applyBorder="1" applyAlignment="1">
      <alignment horizontal="left"/>
    </xf>
    <xf numFmtId="0" fontId="43" fillId="27" borderId="1" xfId="0" applyFont="1" applyFill="1" applyBorder="1" applyAlignment="1">
      <alignment horizontal="center" vertical="top" wrapText="1"/>
    </xf>
    <xf numFmtId="3" fontId="1" fillId="2" borderId="1" xfId="0" applyNumberFormat="1" applyFont="1" applyFill="1" applyBorder="1" applyAlignment="1">
      <alignment horizontal="right"/>
    </xf>
    <xf numFmtId="165" fontId="11" fillId="2" borderId="1" xfId="0" applyNumberFormat="1" applyFont="1" applyFill="1" applyBorder="1" applyAlignment="1">
      <alignment horizontal="left"/>
    </xf>
    <xf numFmtId="6" fontId="4" fillId="2" borderId="1" xfId="0" applyNumberFormat="1" applyFont="1" applyFill="1" applyBorder="1" applyAlignment="1">
      <alignment horizontal="center"/>
    </xf>
    <xf numFmtId="0" fontId="43" fillId="19" borderId="1" xfId="0" applyFont="1" applyFill="1" applyBorder="1"/>
    <xf numFmtId="0" fontId="22" fillId="33" borderId="1" xfId="0" applyFont="1" applyFill="1" applyBorder="1" applyAlignment="1">
      <alignment horizontal="center"/>
    </xf>
    <xf numFmtId="9" fontId="1" fillId="2" borderId="1" xfId="0" applyNumberFormat="1" applyFont="1" applyFill="1" applyBorder="1" applyAlignment="1">
      <alignment horizontal="right"/>
    </xf>
    <xf numFmtId="3"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42" fillId="23" borderId="1" xfId="0" applyFont="1" applyFill="1" applyBorder="1"/>
    <xf numFmtId="166" fontId="3" fillId="2" borderId="1" xfId="0" applyNumberFormat="1" applyFont="1" applyFill="1" applyBorder="1" applyAlignment="1">
      <alignment horizontal="right"/>
    </xf>
    <xf numFmtId="9" fontId="11" fillId="2" borderId="1" xfId="0" applyNumberFormat="1" applyFont="1" applyFill="1" applyBorder="1" applyAlignment="1">
      <alignment horizontal="left"/>
    </xf>
    <xf numFmtId="0" fontId="10" fillId="11" borderId="1" xfId="0" applyFont="1" applyFill="1" applyBorder="1" applyAlignment="1">
      <alignment horizontal="center"/>
    </xf>
    <xf numFmtId="0" fontId="10" fillId="34" borderId="1" xfId="0" applyFont="1" applyFill="1" applyBorder="1" applyAlignment="1">
      <alignment horizontal="center"/>
    </xf>
    <xf numFmtId="0" fontId="10" fillId="30" borderId="1" xfId="0" applyFont="1" applyFill="1" applyBorder="1" applyAlignment="1">
      <alignment horizontal="center" wrapText="1"/>
    </xf>
    <xf numFmtId="0" fontId="10" fillId="30" borderId="1" xfId="0" applyFont="1" applyFill="1" applyBorder="1" applyAlignment="1">
      <alignment horizontal="center"/>
    </xf>
    <xf numFmtId="0" fontId="10" fillId="35" borderId="1" xfId="0" applyFont="1" applyFill="1" applyBorder="1" applyAlignment="1">
      <alignment horizontal="center"/>
    </xf>
    <xf numFmtId="0" fontId="11" fillId="27" borderId="1" xfId="0" applyFont="1" applyFill="1" applyBorder="1"/>
    <xf numFmtId="9" fontId="15" fillId="2" borderId="1" xfId="0" applyNumberFormat="1" applyFont="1" applyFill="1" applyBorder="1" applyAlignment="1">
      <alignment horizontal="left"/>
    </xf>
    <xf numFmtId="164" fontId="43" fillId="27" borderId="1" xfId="0" applyNumberFormat="1" applyFont="1" applyFill="1" applyBorder="1" applyAlignment="1">
      <alignment horizontal="center"/>
    </xf>
    <xf numFmtId="0" fontId="14" fillId="6" borderId="4" xfId="0" applyFont="1" applyFill="1" applyBorder="1" applyAlignment="1">
      <alignment horizontal="left" wrapText="1"/>
    </xf>
    <xf numFmtId="1" fontId="10" fillId="6" borderId="4" xfId="0" applyNumberFormat="1" applyFont="1" applyFill="1" applyBorder="1" applyAlignment="1">
      <alignment horizontal="center"/>
    </xf>
    <xf numFmtId="0" fontId="5" fillId="2" borderId="4" xfId="0" applyFont="1" applyFill="1" applyBorder="1" applyAlignment="1">
      <alignment horizontal="left"/>
    </xf>
    <xf numFmtId="38" fontId="5" fillId="2" borderId="4" xfId="0" applyNumberFormat="1" applyFont="1" applyFill="1" applyBorder="1" applyAlignment="1">
      <alignment horizontal="center"/>
    </xf>
    <xf numFmtId="0" fontId="3" fillId="2" borderId="16" xfId="0" applyFont="1" applyFill="1" applyBorder="1"/>
    <xf numFmtId="0" fontId="2" fillId="2" borderId="16" xfId="0" applyFont="1" applyFill="1" applyBorder="1"/>
    <xf numFmtId="0" fontId="50" fillId="2" borderId="1" xfId="0" applyFont="1" applyFill="1" applyBorder="1"/>
    <xf numFmtId="0" fontId="51" fillId="2" borderId="1" xfId="0" applyFont="1" applyFill="1" applyBorder="1"/>
    <xf numFmtId="0" fontId="52" fillId="2" borderId="1" xfId="0" applyFont="1" applyFill="1" applyBorder="1" applyAlignment="1">
      <alignment horizontal="center"/>
    </xf>
    <xf numFmtId="0" fontId="53" fillId="16" borderId="1" xfId="0" applyFont="1" applyFill="1" applyBorder="1"/>
    <xf numFmtId="0" fontId="53" fillId="16" borderId="1" xfId="0" applyFont="1" applyFill="1" applyBorder="1" applyAlignment="1">
      <alignment horizontal="right"/>
    </xf>
    <xf numFmtId="167" fontId="51" fillId="2" borderId="1" xfId="0" applyNumberFormat="1" applyFont="1" applyFill="1" applyBorder="1"/>
    <xf numFmtId="0" fontId="54" fillId="2" borderId="16" xfId="0" applyFont="1" applyFill="1" applyBorder="1" applyAlignment="1">
      <alignment horizontal="left" wrapText="1"/>
    </xf>
    <xf numFmtId="0" fontId="31" fillId="2" borderId="1" xfId="0" applyFont="1" applyFill="1" applyBorder="1"/>
    <xf numFmtId="0" fontId="55" fillId="2" borderId="1" xfId="0" applyFont="1" applyFill="1" applyBorder="1" applyAlignment="1">
      <alignment wrapText="1"/>
    </xf>
    <xf numFmtId="0" fontId="56" fillId="2" borderId="1" xfId="0" applyFont="1" applyFill="1" applyBorder="1" applyAlignment="1">
      <alignment horizontal="left" wrapText="1"/>
    </xf>
    <xf numFmtId="8" fontId="52" fillId="2" borderId="1" xfId="0" applyNumberFormat="1" applyFont="1" applyFill="1" applyBorder="1" applyAlignment="1">
      <alignment horizontal="center"/>
    </xf>
    <xf numFmtId="0" fontId="50" fillId="16" borderId="1" xfId="0" applyFont="1" applyFill="1" applyBorder="1"/>
    <xf numFmtId="8" fontId="31" fillId="2" borderId="1" xfId="0" applyNumberFormat="1" applyFont="1" applyFill="1" applyBorder="1" applyAlignment="1">
      <alignment horizontal="right"/>
    </xf>
    <xf numFmtId="8" fontId="31" fillId="2" borderId="1" xfId="0" applyNumberFormat="1" applyFont="1" applyFill="1" applyBorder="1" applyAlignment="1">
      <alignment horizontal="left"/>
    </xf>
    <xf numFmtId="0" fontId="31" fillId="2" borderId="1" xfId="0" applyFont="1" applyFill="1" applyBorder="1" applyAlignment="1">
      <alignment horizontal="left"/>
    </xf>
    <xf numFmtId="0" fontId="30" fillId="2" borderId="16" xfId="0" applyFont="1" applyFill="1" applyBorder="1" applyAlignment="1">
      <alignment horizontal="center"/>
    </xf>
    <xf numFmtId="0" fontId="7" fillId="2" borderId="16" xfId="0" applyFont="1" applyFill="1" applyBorder="1"/>
    <xf numFmtId="10" fontId="31" fillId="2" borderId="1" xfId="0" applyNumberFormat="1" applyFont="1" applyFill="1" applyBorder="1" applyAlignment="1">
      <alignment horizontal="left"/>
    </xf>
    <xf numFmtId="0" fontId="52" fillId="2" borderId="1" xfId="0" applyFont="1" applyFill="1" applyBorder="1"/>
    <xf numFmtId="8" fontId="52" fillId="2" borderId="1" xfId="0" applyNumberFormat="1" applyFont="1" applyFill="1" applyBorder="1" applyAlignment="1">
      <alignment horizontal="left"/>
    </xf>
    <xf numFmtId="0" fontId="50" fillId="2" borderId="1" xfId="0" applyFont="1" applyFill="1" applyBorder="1" applyAlignment="1">
      <alignment horizontal="right"/>
    </xf>
    <xf numFmtId="0" fontId="58" fillId="2" borderId="1" xfId="0" applyFont="1" applyFill="1" applyBorder="1" applyAlignment="1">
      <alignment horizontal="center"/>
    </xf>
    <xf numFmtId="167" fontId="11" fillId="2" borderId="1" xfId="0" applyNumberFormat="1" applyFont="1" applyFill="1" applyBorder="1"/>
    <xf numFmtId="0" fontId="32" fillId="2" borderId="1" xfId="0" applyFont="1" applyFill="1" applyBorder="1" applyAlignment="1">
      <alignment horizontal="center" wrapText="1"/>
    </xf>
    <xf numFmtId="9" fontId="11" fillId="2" borderId="1" xfId="0" applyNumberFormat="1" applyFont="1" applyFill="1" applyBorder="1" applyAlignment="1">
      <alignment horizontal="right"/>
    </xf>
    <xf numFmtId="8" fontId="54" fillId="36" borderId="1" xfId="0" applyNumberFormat="1" applyFont="1" applyFill="1" applyBorder="1" applyAlignment="1">
      <alignment horizontal="left"/>
    </xf>
    <xf numFmtId="0" fontId="54" fillId="36" borderId="1" xfId="0" applyFont="1" applyFill="1" applyBorder="1"/>
    <xf numFmtId="0" fontId="59" fillId="2" borderId="1" xfId="0" applyFont="1" applyFill="1" applyBorder="1"/>
    <xf numFmtId="167" fontId="59" fillId="2" borderId="1" xfId="0" applyNumberFormat="1" applyFont="1" applyFill="1" applyBorder="1"/>
    <xf numFmtId="0" fontId="60" fillId="2" borderId="1" xfId="0" applyFont="1" applyFill="1" applyBorder="1"/>
    <xf numFmtId="0" fontId="61" fillId="2" borderId="1" xfId="0" applyFont="1" applyFill="1" applyBorder="1"/>
    <xf numFmtId="0" fontId="17" fillId="2" borderId="16" xfId="0" applyFont="1" applyFill="1" applyBorder="1" applyAlignment="1">
      <alignment wrapText="1"/>
    </xf>
    <xf numFmtId="0" fontId="52" fillId="2" borderId="1" xfId="0" applyFont="1" applyFill="1" applyBorder="1" applyAlignment="1">
      <alignment horizontal="center" wrapText="1"/>
    </xf>
    <xf numFmtId="0" fontId="52" fillId="2" borderId="1" xfId="0" applyFont="1" applyFill="1" applyBorder="1" applyAlignment="1">
      <alignment horizontal="right"/>
    </xf>
    <xf numFmtId="40" fontId="52" fillId="2" borderId="1" xfId="0" applyNumberFormat="1" applyFont="1" applyFill="1" applyBorder="1" applyAlignment="1">
      <alignment horizontal="right" wrapText="1"/>
    </xf>
    <xf numFmtId="0" fontId="62" fillId="2" borderId="1" xfId="0" applyFont="1" applyFill="1" applyBorder="1" applyAlignment="1">
      <alignment horizontal="center"/>
    </xf>
    <xf numFmtId="1" fontId="10" fillId="6" borderId="1" xfId="0" applyNumberFormat="1" applyFont="1" applyFill="1" applyBorder="1" applyAlignment="1">
      <alignment horizontal="center"/>
    </xf>
    <xf numFmtId="38" fontId="5" fillId="2" borderId="1" xfId="0" applyNumberFormat="1" applyFont="1" applyFill="1" applyBorder="1" applyAlignment="1">
      <alignment horizontal="center"/>
    </xf>
    <xf numFmtId="0" fontId="43" fillId="37" borderId="1" xfId="0" applyFont="1" applyFill="1" applyBorder="1" applyAlignment="1">
      <alignment horizontal="center" vertical="top" wrapText="1"/>
    </xf>
    <xf numFmtId="49" fontId="3" fillId="2" borderId="1" xfId="0" applyNumberFormat="1" applyFont="1" applyFill="1" applyBorder="1" applyAlignment="1">
      <alignment horizontal="left"/>
    </xf>
    <xf numFmtId="2" fontId="3" fillId="2" borderId="1" xfId="0" applyNumberFormat="1" applyFont="1" applyFill="1" applyBorder="1" applyAlignment="1">
      <alignment horizontal="left"/>
    </xf>
    <xf numFmtId="10" fontId="25" fillId="2" borderId="1" xfId="0" applyNumberFormat="1" applyFont="1" applyFill="1" applyBorder="1" applyAlignment="1">
      <alignment horizontal="left"/>
    </xf>
    <xf numFmtId="10" fontId="42" fillId="22" borderId="1" xfId="0" applyNumberFormat="1" applyFont="1" applyFill="1" applyBorder="1" applyAlignment="1">
      <alignment horizontal="center" vertical="top" wrapText="1"/>
    </xf>
    <xf numFmtId="10" fontId="11" fillId="2" borderId="1" xfId="0" applyNumberFormat="1" applyFont="1" applyFill="1" applyBorder="1" applyAlignment="1">
      <alignment horizontal="left"/>
    </xf>
    <xf numFmtId="0" fontId="55" fillId="2" borderId="1" xfId="0" applyFont="1" applyFill="1" applyBorder="1" applyAlignment="1">
      <alignment horizontal="left" wrapText="1"/>
    </xf>
    <xf numFmtId="165" fontId="42" fillId="38" borderId="1" xfId="0" applyNumberFormat="1" applyFont="1" applyFill="1" applyBorder="1" applyAlignment="1">
      <alignment horizontal="center" vertical="top" wrapText="1"/>
    </xf>
    <xf numFmtId="3" fontId="11" fillId="2" borderId="1" xfId="0" applyNumberFormat="1" applyFont="1" applyFill="1" applyBorder="1" applyAlignment="1">
      <alignment horizontal="right"/>
    </xf>
    <xf numFmtId="165" fontId="4" fillId="2" borderId="1" xfId="0" applyNumberFormat="1" applyFont="1" applyFill="1" applyBorder="1" applyAlignment="1">
      <alignment horizontal="center"/>
    </xf>
    <xf numFmtId="0" fontId="10" fillId="39" borderId="1" xfId="0" applyFont="1" applyFill="1" applyBorder="1" applyAlignment="1">
      <alignment horizontal="center" wrapText="1"/>
    </xf>
    <xf numFmtId="0" fontId="10" fillId="39" borderId="1" xfId="0" applyFont="1" applyFill="1" applyBorder="1" applyAlignment="1">
      <alignment horizontal="center"/>
    </xf>
    <xf numFmtId="0" fontId="10" fillId="27" borderId="1" xfId="0" applyFont="1" applyFill="1" applyBorder="1" applyAlignment="1">
      <alignment horizontal="center"/>
    </xf>
    <xf numFmtId="0" fontId="10" fillId="27" borderId="1" xfId="0" applyFont="1" applyFill="1" applyBorder="1" applyAlignment="1">
      <alignment horizontal="center" wrapText="1"/>
    </xf>
    <xf numFmtId="0" fontId="10" fillId="22" borderId="1" xfId="0" applyFont="1" applyFill="1" applyBorder="1" applyAlignment="1">
      <alignment horizontal="center"/>
    </xf>
    <xf numFmtId="0" fontId="10" fillId="22" borderId="1" xfId="0" applyFont="1" applyFill="1" applyBorder="1" applyAlignment="1">
      <alignment horizontal="center" wrapText="1"/>
    </xf>
    <xf numFmtId="0" fontId="10" fillId="37" borderId="1" xfId="0" applyFont="1" applyFill="1" applyBorder="1" applyAlignment="1">
      <alignment horizontal="center"/>
    </xf>
    <xf numFmtId="0" fontId="4" fillId="32" borderId="1" xfId="0" applyFont="1" applyFill="1" applyBorder="1"/>
    <xf numFmtId="0" fontId="42" fillId="22" borderId="1" xfId="0" applyFont="1" applyFill="1" applyBorder="1"/>
    <xf numFmtId="0" fontId="63" fillId="2" borderId="1" xfId="0" applyFont="1" applyFill="1" applyBorder="1" applyAlignment="1">
      <alignment horizontal="left"/>
    </xf>
    <xf numFmtId="0" fontId="42" fillId="25" borderId="1" xfId="0" applyFont="1" applyFill="1" applyBorder="1"/>
    <xf numFmtId="0" fontId="42" fillId="40" borderId="1" xfId="0" applyFont="1" applyFill="1" applyBorder="1"/>
    <xf numFmtId="0" fontId="23" fillId="24" borderId="1" xfId="0" applyFont="1" applyFill="1" applyBorder="1"/>
    <xf numFmtId="0" fontId="4" fillId="24" borderId="1" xfId="0" applyFont="1" applyFill="1" applyBorder="1"/>
    <xf numFmtId="0" fontId="6" fillId="2" borderId="4" xfId="0" applyFont="1" applyFill="1" applyBorder="1" applyAlignment="1">
      <alignment horizontal="left" wrapText="1"/>
    </xf>
    <xf numFmtId="0" fontId="6" fillId="2" borderId="4" xfId="0" applyFont="1" applyFill="1" applyBorder="1" applyAlignment="1">
      <alignment wrapText="1"/>
    </xf>
    <xf numFmtId="0" fontId="43" fillId="19" borderId="1" xfId="0" applyFont="1" applyFill="1" applyBorder="1" applyAlignment="1">
      <alignment horizontal="center"/>
    </xf>
    <xf numFmtId="0" fontId="1" fillId="2" borderId="1" xfId="0" applyFont="1" applyFill="1" applyBorder="1"/>
    <xf numFmtId="3" fontId="42" fillId="30" borderId="1" xfId="0" applyNumberFormat="1" applyFont="1" applyFill="1" applyBorder="1" applyAlignment="1">
      <alignment horizontal="center" wrapText="1"/>
    </xf>
    <xf numFmtId="165" fontId="42" fillId="30" borderId="1" xfId="0" applyNumberFormat="1" applyFont="1" applyFill="1" applyBorder="1" applyAlignment="1">
      <alignment horizontal="center"/>
    </xf>
    <xf numFmtId="164" fontId="42" fillId="22" borderId="1" xfId="0" applyNumberFormat="1" applyFont="1" applyFill="1" applyBorder="1" applyAlignment="1">
      <alignment horizontal="center"/>
    </xf>
    <xf numFmtId="0" fontId="42" fillId="23" borderId="1" xfId="0" applyFont="1" applyFill="1" applyBorder="1" applyAlignment="1">
      <alignment horizontal="center"/>
    </xf>
    <xf numFmtId="0" fontId="42" fillId="25" borderId="1" xfId="0" applyFont="1" applyFill="1" applyBorder="1" applyAlignment="1">
      <alignment horizontal="center"/>
    </xf>
    <xf numFmtId="0" fontId="4" fillId="19" borderId="1" xfId="0" applyFont="1" applyFill="1" applyBorder="1" applyAlignment="1">
      <alignment horizontal="center" wrapText="1"/>
    </xf>
    <xf numFmtId="3" fontId="43" fillId="19" borderId="1" xfId="0" applyNumberFormat="1" applyFont="1" applyFill="1" applyBorder="1" applyAlignment="1">
      <alignment horizontal="center"/>
    </xf>
    <xf numFmtId="165" fontId="4" fillId="19" borderId="1" xfId="0" applyNumberFormat="1" applyFont="1" applyFill="1" applyBorder="1" applyAlignment="1">
      <alignment horizontal="center"/>
    </xf>
    <xf numFmtId="0" fontId="4" fillId="19" borderId="1" xfId="0" applyFont="1" applyFill="1" applyBorder="1" applyAlignment="1">
      <alignment horizontal="center"/>
    </xf>
    <xf numFmtId="0" fontId="1" fillId="2" borderId="1" xfId="0" applyFont="1" applyFill="1" applyBorder="1" applyAlignment="1">
      <alignment horizontal="left"/>
    </xf>
    <xf numFmtId="0" fontId="4" fillId="20" borderId="13" xfId="0" applyFont="1" applyFill="1" applyBorder="1" applyAlignment="1">
      <alignment horizontal="center"/>
    </xf>
    <xf numFmtId="0" fontId="3" fillId="2" borderId="1" xfId="0" applyFont="1" applyFill="1" applyBorder="1" applyAlignment="1">
      <alignment horizontal="center"/>
    </xf>
    <xf numFmtId="0" fontId="3" fillId="11" borderId="1" xfId="0" applyFont="1" applyFill="1" applyBorder="1" applyAlignment="1">
      <alignment horizontal="left"/>
    </xf>
    <xf numFmtId="0" fontId="4" fillId="5" borderId="13" xfId="0" applyFont="1" applyFill="1" applyBorder="1" applyAlignment="1">
      <alignment horizontal="left"/>
    </xf>
    <xf numFmtId="0" fontId="3" fillId="12" borderId="1" xfId="0" applyFont="1" applyFill="1" applyBorder="1" applyAlignment="1">
      <alignment horizontal="left"/>
    </xf>
    <xf numFmtId="0" fontId="27" fillId="2" borderId="1" xfId="0" applyFont="1" applyFill="1" applyBorder="1" applyAlignment="1">
      <alignment horizontal="center"/>
    </xf>
    <xf numFmtId="0" fontId="3" fillId="30" borderId="1" xfId="0" applyFont="1" applyFill="1" applyBorder="1" applyAlignment="1">
      <alignment horizontal="left"/>
    </xf>
    <xf numFmtId="0" fontId="49" fillId="2" borderId="1" xfId="0" applyFont="1" applyFill="1" applyBorder="1" applyAlignment="1">
      <alignment horizontal="left"/>
    </xf>
    <xf numFmtId="0" fontId="26" fillId="2" borderId="1" xfId="0" applyFont="1" applyFill="1" applyBorder="1" applyAlignment="1">
      <alignment horizontal="center"/>
    </xf>
    <xf numFmtId="0" fontId="19" fillId="17" borderId="1" xfId="0" applyFont="1" applyFill="1" applyBorder="1" applyAlignment="1">
      <alignment horizontal="center"/>
    </xf>
    <xf numFmtId="0" fontId="5" fillId="2" borderId="1" xfId="0" applyFont="1" applyFill="1" applyBorder="1" applyAlignment="1">
      <alignment horizontal="center"/>
    </xf>
    <xf numFmtId="0" fontId="27" fillId="17" borderId="1" xfId="0" applyFont="1" applyFill="1" applyBorder="1" applyAlignment="1">
      <alignment horizontal="center"/>
    </xf>
    <xf numFmtId="0" fontId="23" fillId="27" borderId="1" xfId="0" applyFont="1" applyFill="1" applyBorder="1" applyAlignment="1">
      <alignment horizontal="center"/>
    </xf>
    <xf numFmtId="0" fontId="23" fillId="22" borderId="1" xfId="0" applyFont="1" applyFill="1" applyBorder="1" applyAlignment="1">
      <alignment horizontal="center"/>
    </xf>
    <xf numFmtId="0" fontId="23" fillId="18" borderId="1" xfId="0" applyFont="1" applyFill="1" applyBorder="1" applyAlignment="1">
      <alignment horizontal="center"/>
    </xf>
    <xf numFmtId="0" fontId="23" fillId="39" borderId="1" xfId="0" applyFont="1" applyFill="1" applyBorder="1" applyAlignment="1">
      <alignment horizontal="center"/>
    </xf>
    <xf numFmtId="40" fontId="46" fillId="31" borderId="14" xfId="0" applyNumberFormat="1" applyFont="1" applyFill="1" applyBorder="1" applyAlignment="1">
      <alignment horizontal="left" wrapText="1"/>
    </xf>
    <xf numFmtId="40" fontId="31" fillId="3" borderId="1" xfId="0" applyNumberFormat="1" applyFont="1" applyFill="1" applyBorder="1" applyAlignment="1">
      <alignment horizontal="right" wrapText="1"/>
    </xf>
    <xf numFmtId="40" fontId="32" fillId="3" borderId="1" xfId="0" applyNumberFormat="1" applyFont="1" applyFill="1" applyBorder="1" applyAlignment="1">
      <alignment horizontal="left" wrapText="1"/>
    </xf>
    <xf numFmtId="0" fontId="46" fillId="31" borderId="14" xfId="0" applyFont="1" applyFill="1" applyBorder="1" applyAlignment="1">
      <alignment horizontal="left"/>
    </xf>
    <xf numFmtId="0" fontId="44" fillId="3" borderId="1" xfId="0" applyFont="1" applyFill="1" applyBorder="1" applyAlignment="1">
      <alignment vertical="top"/>
    </xf>
    <xf numFmtId="0" fontId="45" fillId="3" borderId="1" xfId="0" applyFont="1" applyFill="1" applyBorder="1" applyAlignment="1">
      <alignment horizontal="center"/>
    </xf>
    <xf numFmtId="0" fontId="31" fillId="3" borderId="15" xfId="0" applyFont="1" applyFill="1" applyBorder="1" applyAlignment="1">
      <alignment wrapText="1"/>
    </xf>
    <xf numFmtId="0" fontId="17" fillId="3" borderId="1" xfId="0" applyFont="1" applyFill="1" applyBorder="1" applyAlignment="1">
      <alignment wrapText="1"/>
    </xf>
    <xf numFmtId="40" fontId="32" fillId="2" borderId="1" xfId="0" applyNumberFormat="1" applyFont="1" applyFill="1" applyBorder="1" applyAlignment="1">
      <alignment horizontal="left" wrapText="1"/>
    </xf>
    <xf numFmtId="0" fontId="36" fillId="2" borderId="1" xfId="0" applyFont="1" applyFill="1" applyBorder="1" applyAlignment="1">
      <alignment horizontal="left" wrapText="1"/>
    </xf>
    <xf numFmtId="0" fontId="36" fillId="2" borderId="1" xfId="0" applyFont="1" applyFill="1" applyBorder="1" applyAlignment="1">
      <alignment horizontal="left"/>
    </xf>
    <xf numFmtId="0" fontId="54" fillId="2" borderId="16" xfId="0" applyFont="1" applyFill="1" applyBorder="1" applyAlignment="1">
      <alignment horizontal="left" wrapText="1"/>
    </xf>
    <xf numFmtId="0" fontId="32" fillId="2" borderId="1" xfId="0" applyFont="1" applyFill="1" applyBorder="1" applyAlignment="1">
      <alignment horizontal="center" wrapText="1"/>
    </xf>
    <xf numFmtId="0" fontId="31" fillId="2" borderId="1" xfId="0" applyFont="1" applyFill="1" applyBorder="1" applyAlignment="1">
      <alignment horizontal="left"/>
    </xf>
    <xf numFmtId="0" fontId="57" fillId="2" borderId="1" xfId="0" applyFont="1" applyFill="1" applyBorder="1" applyAlignment="1">
      <alignment horizontal="left"/>
    </xf>
    <xf numFmtId="0" fontId="54" fillId="36" borderId="1" xfId="0" applyFont="1" applyFill="1" applyBorder="1" applyAlignment="1">
      <alignment horizontal="left" wrapText="1"/>
    </xf>
    <xf numFmtId="0" fontId="31" fillId="2" borderId="1" xfId="0" applyFont="1" applyFill="1" applyBorder="1" applyAlignment="1">
      <alignment horizontal="left" wrapText="1"/>
    </xf>
    <xf numFmtId="0" fontId="44" fillId="2" borderId="1" xfId="0" applyFont="1" applyFill="1" applyBorder="1" applyAlignment="1">
      <alignment vertical="top"/>
    </xf>
    <xf numFmtId="0" fontId="45" fillId="2" borderId="1" xfId="0" applyFont="1" applyFill="1" applyBorder="1" applyAlignment="1">
      <alignment horizontal="center"/>
    </xf>
    <xf numFmtId="0" fontId="38" fillId="3" borderId="1" xfId="0" applyFont="1" applyFill="1" applyBorder="1" applyAlignment="1">
      <alignment horizontal="left" wrapText="1"/>
    </xf>
    <xf numFmtId="0" fontId="47" fillId="3" borderId="1" xfId="0" applyFont="1" applyFill="1" applyBorder="1" applyAlignment="1">
      <alignment horizontal="center"/>
    </xf>
    <xf numFmtId="0" fontId="37" fillId="3" borderId="1" xfId="0" applyFont="1" applyFill="1" applyBorder="1" applyAlignment="1">
      <alignment horizontal="center"/>
    </xf>
    <xf numFmtId="0" fontId="10" fillId="14" borderId="1" xfId="0" applyFont="1" applyFill="1" applyBorder="1" applyAlignment="1">
      <alignment horizontal="center"/>
    </xf>
    <xf numFmtId="0" fontId="6" fillId="2" borderId="13" xfId="0" applyFont="1" applyFill="1" applyBorder="1" applyAlignment="1">
      <alignment horizontal="left" wrapText="1"/>
    </xf>
    <xf numFmtId="0" fontId="64" fillId="40" borderId="1" xfId="0" applyFont="1" applyFill="1" applyBorder="1" applyAlignment="1">
      <alignment horizontal="left"/>
    </xf>
    <xf numFmtId="0" fontId="64" fillId="25" borderId="1" xfId="0" applyFont="1" applyFill="1" applyBorder="1" applyAlignment="1">
      <alignment horizontal="left"/>
    </xf>
    <xf numFmtId="0" fontId="64" fillId="23" borderId="1" xfId="0" applyFont="1" applyFill="1" applyBorder="1" applyAlignment="1">
      <alignment horizontal="left"/>
    </xf>
    <xf numFmtId="0" fontId="2" fillId="2" borderId="13" xfId="0" applyFont="1" applyFill="1" applyBorder="1" applyAlignment="1">
      <alignment horizontal="left" wrapText="1"/>
    </xf>
    <xf numFmtId="0" fontId="64" fillId="22" borderId="1" xfId="0" applyFont="1" applyFill="1" applyBorder="1" applyAlignment="1">
      <alignment horizontal="left"/>
    </xf>
    <xf numFmtId="0" fontId="12" fillId="2" borderId="1" xfId="0" applyFont="1" applyFill="1" applyBorder="1" applyAlignment="1">
      <alignment horizontal="left"/>
    </xf>
    <xf numFmtId="0" fontId="23" fillId="32" borderId="1" xfId="0" applyFont="1" applyFill="1" applyBorder="1" applyAlignment="1">
      <alignment horizontal="left"/>
    </xf>
  </cellXfs>
  <cellStyles count="1">
    <cellStyle name="Normal" xfId="0" builtinId="0"/>
  </cellStyles>
  <dxfs count="30">
    <dxf>
      <font>
        <u val="none"/>
      </font>
      <fill>
        <patternFill patternType="solid">
          <fgColor rgb="FFFFFF99"/>
          <bgColor rgb="FFFFFF99"/>
        </patternFill>
      </fill>
    </dxf>
    <dxf>
      <font>
        <u val="none"/>
      </font>
      <fill>
        <patternFill patternType="solid">
          <fgColor rgb="FF92D050"/>
          <bgColor rgb="FF92D050"/>
        </patternFill>
      </fill>
    </dxf>
    <dxf>
      <font>
        <u val="none"/>
      </font>
      <fill>
        <patternFill patternType="solid">
          <fgColor rgb="FFFF0000"/>
          <bgColor rgb="FFFF0000"/>
        </patternFill>
      </fill>
    </dxf>
    <dxf>
      <font>
        <u val="none"/>
      </font>
      <fill>
        <patternFill patternType="solid">
          <fgColor rgb="FFFFFF99"/>
          <bgColor rgb="FFFFFF99"/>
        </patternFill>
      </fill>
    </dxf>
    <dxf>
      <font>
        <u val="none"/>
      </font>
      <fill>
        <patternFill patternType="solid">
          <fgColor rgb="FF92D050"/>
          <bgColor rgb="FF92D050"/>
        </patternFill>
      </fill>
    </dxf>
    <dxf>
      <font>
        <u val="none"/>
      </font>
      <fill>
        <patternFill patternType="solid">
          <fgColor rgb="FFFF0000"/>
          <bgColor rgb="FFFF0000"/>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font>
      <fill>
        <patternFill patternType="solid">
          <fgColor rgb="FFFF0000"/>
          <bgColor rgb="FFFF0000"/>
        </patternFill>
      </fill>
    </dxf>
    <dxf>
      <font>
        <u val="none"/>
      </font>
      <fill>
        <patternFill patternType="solid">
          <fgColor rgb="FFBFBFBF"/>
          <bgColor rgb="FFBFBFBF"/>
        </patternFill>
      </fill>
    </dxf>
    <dxf>
      <font>
        <u val="none"/>
        <color rgb="FFFFFFFF"/>
      </font>
      <fill>
        <patternFill patternType="none"/>
      </fill>
    </dxf>
    <dxf>
      <font>
        <u val="none"/>
      </font>
      <fill>
        <patternFill patternType="solid">
          <fgColor rgb="FFFF0000"/>
          <bgColor rgb="FFFF0000"/>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color rgb="FF9C0006"/>
      </font>
      <fill>
        <patternFill patternType="solid">
          <fgColor rgb="FFFFC7CE"/>
          <bgColor rgb="FFFFC7CE"/>
        </patternFill>
      </fill>
    </dxf>
    <dxf>
      <font>
        <u val="none"/>
      </font>
      <fill>
        <patternFill patternType="solid">
          <fgColor rgb="FFFF0000"/>
          <bgColor rgb="FFFF0000"/>
        </patternFill>
      </fill>
    </dxf>
    <dxf>
      <font>
        <u val="none"/>
      </font>
      <fill>
        <patternFill patternType="solid">
          <fgColor rgb="FF92D050"/>
          <bgColor rgb="FF92D050"/>
        </patternFill>
      </fill>
    </dxf>
    <dxf>
      <font>
        <u val="none"/>
      </font>
      <fill>
        <patternFill patternType="solid">
          <fgColor rgb="FFC5D9F1"/>
          <bgColor rgb="FFC5D9F1"/>
        </patternFill>
      </fill>
    </dxf>
    <dxf>
      <font>
        <u val="none"/>
        <color rgb="FFFF0000"/>
      </font>
      <fill>
        <patternFill patternType="none"/>
      </fill>
    </dxf>
    <dxf>
      <font>
        <u val="none"/>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25"/>
  <sheetViews>
    <sheetView tabSelected="1" workbookViewId="0">
      <selection sqref="A1:E1"/>
    </sheetView>
  </sheetViews>
  <sheetFormatPr baseColWidth="10" defaultRowHeight="14"/>
  <cols>
    <col min="1" max="1" width="8.1640625" customWidth="1"/>
    <col min="2" max="2" width="11.83203125" customWidth="1"/>
    <col min="3" max="3" width="15.1640625" customWidth="1"/>
    <col min="4" max="4" width="25.6640625" customWidth="1"/>
    <col min="5" max="5" width="9.6640625" customWidth="1"/>
    <col min="6" max="6" width="9.1640625" customWidth="1"/>
    <col min="7" max="7" width="20.6640625" customWidth="1"/>
    <col min="8" max="8" width="13.1640625" customWidth="1"/>
    <col min="9" max="9" width="22.83203125" customWidth="1"/>
    <col min="10" max="10" width="12.1640625" customWidth="1"/>
    <col min="11" max="11" width="14.6640625" customWidth="1"/>
    <col min="12" max="12" width="13.83203125" customWidth="1"/>
    <col min="13" max="13" width="14.6640625" customWidth="1"/>
    <col min="14" max="14" width="10.83203125" customWidth="1"/>
    <col min="15" max="18" width="14.1640625" customWidth="1"/>
    <col min="19" max="29" width="10.83203125" customWidth="1"/>
    <col min="30" max="30" width="8.33203125" customWidth="1"/>
    <col min="31" max="33" width="10.6640625" customWidth="1"/>
    <col min="34" max="35" width="17.1640625" customWidth="1"/>
    <col min="36" max="38" width="11.1640625" customWidth="1"/>
    <col min="39" max="40" width="13.83203125" customWidth="1"/>
    <col min="41" max="41" width="11.83203125" customWidth="1"/>
    <col min="42" max="48" width="11.1640625" customWidth="1"/>
    <col min="49" max="49" width="40.1640625" customWidth="1"/>
    <col min="50" max="50" width="13.1640625" customWidth="1"/>
    <col min="51" max="52" width="15.83203125" customWidth="1"/>
    <col min="53" max="53" width="8.33203125" customWidth="1"/>
    <col min="54" max="54" width="18.6640625" customWidth="1"/>
    <col min="55" max="55" width="24.6640625" customWidth="1"/>
    <col min="56" max="60" width="13.83203125" customWidth="1"/>
    <col min="61" max="61" width="12.5" customWidth="1"/>
    <col min="62" max="66" width="9.1640625" customWidth="1"/>
    <col min="67" max="67" width="9.6640625" customWidth="1"/>
    <col min="68" max="68" width="7.6640625" customWidth="1"/>
    <col min="69" max="70" width="9.33203125" customWidth="1"/>
    <col min="71" max="71" width="7.6640625" customWidth="1"/>
    <col min="72" max="72" width="9.33203125" customWidth="1"/>
    <col min="73" max="73" width="10.83203125" customWidth="1"/>
    <col min="74" max="75" width="8.6640625" customWidth="1"/>
    <col min="76" max="76" width="33.1640625" customWidth="1"/>
    <col min="77" max="77" width="31.1640625" customWidth="1"/>
    <col min="78" max="81" width="9" customWidth="1"/>
    <col min="82" max="82" width="11.1640625" customWidth="1"/>
    <col min="83" max="87" width="11.6640625" customWidth="1"/>
    <col min="88" max="100" width="12.1640625" customWidth="1"/>
    <col min="101" max="101" width="14.6640625" customWidth="1"/>
    <col min="102" max="102" width="24.5" customWidth="1"/>
    <col min="103" max="106" width="17.6640625" customWidth="1"/>
    <col min="107" max="107" width="10.6640625" customWidth="1"/>
    <col min="108" max="108" width="10.83203125" customWidth="1"/>
    <col min="109" max="109" width="9.33203125" customWidth="1"/>
    <col min="110" max="110" width="10.1640625" customWidth="1"/>
    <col min="111" max="114" width="8.1640625" customWidth="1"/>
    <col min="115" max="115" width="26.6640625" customWidth="1"/>
    <col min="116" max="116" width="14.6640625" customWidth="1"/>
    <col min="117" max="117" width="24.6640625" customWidth="1"/>
    <col min="118" max="134" width="8.1640625" customWidth="1"/>
    <col min="135" max="135" width="21.6640625" customWidth="1"/>
    <col min="136" max="136" width="24.33203125" customWidth="1"/>
    <col min="137" max="138" width="27.33203125" customWidth="1"/>
    <col min="139" max="142" width="9.1640625" customWidth="1"/>
  </cols>
  <sheetData>
    <row r="1" spans="1:142" ht="16">
      <c r="A1" s="290" t="s">
        <v>0</v>
      </c>
      <c r="B1" s="290"/>
      <c r="C1" s="290"/>
      <c r="D1" s="290"/>
      <c r="E1" s="290"/>
      <c r="F1" s="3"/>
      <c r="G1" s="3"/>
      <c r="H1" s="1"/>
      <c r="I1" s="1"/>
      <c r="J1" s="291" t="s">
        <v>1</v>
      </c>
      <c r="K1" s="291"/>
      <c r="L1" s="3"/>
      <c r="M1" s="3"/>
      <c r="N1" s="3"/>
      <c r="O1" s="1"/>
      <c r="P1" s="182"/>
      <c r="Q1" s="182"/>
      <c r="R1" s="182"/>
      <c r="S1" s="3"/>
      <c r="T1" s="3"/>
      <c r="U1" s="3"/>
      <c r="V1" s="3"/>
      <c r="W1" s="3"/>
      <c r="X1" s="3"/>
      <c r="Y1" s="3"/>
      <c r="Z1" s="3"/>
      <c r="AA1" s="283" t="s">
        <v>2</v>
      </c>
      <c r="AB1" s="283"/>
      <c r="AC1" s="86"/>
      <c r="AD1" s="3"/>
      <c r="AE1" s="291" t="s">
        <v>3</v>
      </c>
      <c r="AF1" s="291"/>
      <c r="AG1" s="68"/>
      <c r="AH1" s="283" t="s">
        <v>4</v>
      </c>
      <c r="AI1" s="283"/>
      <c r="AJ1" s="1"/>
      <c r="AK1" s="282" t="s">
        <v>5</v>
      </c>
      <c r="AL1" s="282"/>
      <c r="AM1" s="282"/>
      <c r="AN1" s="282"/>
      <c r="AO1" s="282"/>
      <c r="AP1" s="282"/>
      <c r="AQ1" s="1"/>
      <c r="AR1" s="1"/>
      <c r="AS1" s="1"/>
      <c r="AT1" s="1"/>
      <c r="AU1" s="1"/>
      <c r="AV1" s="1"/>
      <c r="AW1" s="1"/>
      <c r="AX1" s="1"/>
      <c r="AY1" s="1"/>
      <c r="AZ1" s="1"/>
      <c r="BA1" s="3"/>
      <c r="BB1" s="1"/>
      <c r="BC1" s="1"/>
      <c r="BD1" s="141"/>
      <c r="BE1" s="69"/>
      <c r="BF1" s="69"/>
      <c r="BG1" s="69"/>
      <c r="BH1" s="69"/>
      <c r="BI1" s="69"/>
      <c r="BJ1" s="1"/>
      <c r="BK1" s="1"/>
      <c r="BL1" s="1"/>
      <c r="BM1" s="150"/>
      <c r="BN1" s="3"/>
      <c r="BO1" s="1"/>
      <c r="BP1" s="1"/>
      <c r="BQ1" s="86"/>
      <c r="BR1" s="86"/>
      <c r="BS1" s="1"/>
      <c r="BT1" s="86"/>
      <c r="BU1" s="283" t="s">
        <v>6</v>
      </c>
      <c r="BV1" s="283"/>
      <c r="BW1" s="283"/>
      <c r="BX1" s="6"/>
      <c r="BY1" s="1"/>
      <c r="BZ1" s="1"/>
      <c r="CA1" s="283" t="s">
        <v>7</v>
      </c>
      <c r="CB1" s="283"/>
      <c r="CC1" s="283"/>
      <c r="CD1" s="1"/>
      <c r="CE1" s="1"/>
      <c r="CF1" s="3"/>
      <c r="CG1" s="3"/>
      <c r="CH1" s="3"/>
      <c r="CI1" s="3"/>
      <c r="CJ1" s="6"/>
      <c r="CK1" s="6"/>
      <c r="CL1" s="6"/>
      <c r="CM1" s="6"/>
      <c r="CN1" s="6"/>
      <c r="CO1" s="6"/>
      <c r="CP1" s="6"/>
      <c r="CQ1" s="6"/>
      <c r="CR1" s="6"/>
      <c r="CS1" s="6"/>
      <c r="CT1" s="6"/>
      <c r="CU1" s="6"/>
      <c r="CV1" s="6"/>
      <c r="CW1" s="2"/>
      <c r="CX1" s="6"/>
      <c r="CY1" s="6"/>
      <c r="CZ1" s="6"/>
      <c r="DA1" s="6"/>
      <c r="DB1" s="6"/>
      <c r="DC1" s="6"/>
      <c r="DD1" s="2"/>
      <c r="DE1" s="284" t="s">
        <v>8</v>
      </c>
      <c r="DF1" s="284"/>
      <c r="DG1" s="2"/>
      <c r="DH1" s="2"/>
      <c r="DI1" s="2"/>
      <c r="DJ1" s="2"/>
      <c r="DK1" s="5" t="s">
        <v>9</v>
      </c>
      <c r="DL1" s="179" t="s">
        <v>10</v>
      </c>
      <c r="DM1" s="2"/>
      <c r="DN1" s="2"/>
      <c r="DO1" s="2"/>
      <c r="DP1" s="2"/>
      <c r="DQ1" s="2"/>
      <c r="DR1" s="2"/>
      <c r="DS1" s="2"/>
      <c r="DT1" s="2"/>
      <c r="DU1" s="2"/>
      <c r="DV1" s="2"/>
      <c r="DW1" s="2"/>
      <c r="DX1" s="2"/>
      <c r="DY1" s="2"/>
      <c r="DZ1" s="2"/>
      <c r="EA1" s="2"/>
      <c r="EB1" s="2"/>
      <c r="EC1" s="2"/>
      <c r="ED1" s="2"/>
      <c r="EE1" s="2"/>
      <c r="EF1" s="1" t="s">
        <v>11</v>
      </c>
      <c r="EG1" s="98"/>
      <c r="EH1" s="98"/>
      <c r="EI1" s="1"/>
      <c r="EJ1" s="1"/>
      <c r="EK1" s="98"/>
      <c r="EL1" s="1"/>
    </row>
    <row r="2" spans="1:142">
      <c r="A2" s="2"/>
      <c r="B2" s="3"/>
      <c r="C2" s="3"/>
      <c r="D2" s="2"/>
      <c r="E2" s="2"/>
      <c r="F2" s="3"/>
      <c r="G2" s="3"/>
      <c r="H2" s="1"/>
      <c r="I2" s="1"/>
      <c r="J2" s="131" t="s">
        <v>12</v>
      </c>
      <c r="K2" s="132">
        <f>COUNTIFS($AD$9:$AD$226,"Yes",$AL$9:$AL$226,"&gt;0")</f>
        <v>191</v>
      </c>
      <c r="L2" s="3"/>
      <c r="M2" s="3"/>
      <c r="N2" s="3"/>
      <c r="O2" s="1"/>
      <c r="P2" s="182"/>
      <c r="Q2" s="182"/>
      <c r="R2" s="182"/>
      <c r="S2" s="3"/>
      <c r="T2" s="3"/>
      <c r="U2" s="3"/>
      <c r="V2" s="3"/>
      <c r="W2" s="3"/>
      <c r="X2" s="3"/>
      <c r="Y2" s="3"/>
      <c r="Z2" s="3"/>
      <c r="AA2" s="101" t="s">
        <v>13</v>
      </c>
      <c r="AB2" s="102">
        <f>SUMIF(X9:X500,"Yes",AA9:AA500)</f>
        <v>85217.72</v>
      </c>
      <c r="AC2" s="184"/>
      <c r="AD2" s="3"/>
      <c r="AE2" s="285" t="s">
        <v>14</v>
      </c>
      <c r="AF2" s="285"/>
      <c r="AG2" s="85"/>
      <c r="AH2" s="101" t="s">
        <v>13</v>
      </c>
      <c r="AI2" s="102">
        <f>SUMIF(AD9:AD500,"Yes",AF9:AF500)</f>
        <v>228476.72500000003</v>
      </c>
      <c r="AJ2" s="1"/>
      <c r="AK2" s="282"/>
      <c r="AL2" s="282"/>
      <c r="AM2" s="282"/>
      <c r="AN2" s="282"/>
      <c r="AO2" s="282"/>
      <c r="AP2" s="282"/>
      <c r="AQ2" s="1"/>
      <c r="AR2" s="1"/>
      <c r="AS2" s="1"/>
      <c r="AT2" s="1"/>
      <c r="AU2" s="1"/>
      <c r="AV2" s="1"/>
      <c r="AW2" s="1"/>
      <c r="AX2" s="1"/>
      <c r="AY2" s="1"/>
      <c r="AZ2" s="1"/>
      <c r="BA2" s="71"/>
      <c r="BB2" s="1"/>
      <c r="BC2" s="1"/>
      <c r="BD2" s="142"/>
      <c r="BE2" s="71"/>
      <c r="BF2" s="71"/>
      <c r="BG2" s="71"/>
      <c r="BH2" s="71"/>
      <c r="BI2" s="71"/>
      <c r="BJ2" s="1"/>
      <c r="BK2" s="1"/>
      <c r="BL2" s="1"/>
      <c r="BM2" s="150"/>
      <c r="BN2" s="3"/>
      <c r="BO2" s="1"/>
      <c r="BP2" s="1"/>
      <c r="BQ2" s="85"/>
      <c r="BR2" s="85"/>
      <c r="BS2" s="1"/>
      <c r="BT2" s="85"/>
      <c r="BU2" s="286" t="s">
        <v>13</v>
      </c>
      <c r="BV2" s="286"/>
      <c r="BW2" s="102">
        <f>SUMIF($BO$9:$BO$500,"Yes",$BT$9:$BT$500)</f>
        <v>617520.17999999993</v>
      </c>
      <c r="BX2" s="5"/>
      <c r="BY2" s="1"/>
      <c r="BZ2" s="1"/>
      <c r="CA2" s="286" t="s">
        <v>13</v>
      </c>
      <c r="CB2" s="286"/>
      <c r="CC2" s="102">
        <f>SUMIF($BZ$9:$BZ$500,"Yes",$CB$9:$CB$500)</f>
        <v>387737</v>
      </c>
      <c r="CD2" s="1"/>
      <c r="CE2" s="32"/>
      <c r="CF2" s="3"/>
      <c r="CG2" s="3"/>
      <c r="CH2" s="3"/>
      <c r="CI2" s="3"/>
      <c r="CJ2" s="5"/>
      <c r="CK2" s="5"/>
      <c r="CL2" s="5"/>
      <c r="CM2" s="5"/>
      <c r="CN2" s="5"/>
      <c r="CO2" s="5"/>
      <c r="CP2" s="5"/>
      <c r="CQ2" s="5"/>
      <c r="CR2" s="5"/>
      <c r="CS2" s="5"/>
      <c r="CT2" s="5"/>
      <c r="CU2" s="5"/>
      <c r="CV2" s="5"/>
      <c r="CW2" s="2"/>
      <c r="CX2" s="5"/>
      <c r="CY2" s="5"/>
      <c r="CZ2" s="5"/>
      <c r="DA2" s="5"/>
      <c r="DB2" s="5"/>
      <c r="DC2" s="5"/>
      <c r="DD2" s="2"/>
      <c r="DE2" s="4" t="s">
        <v>15</v>
      </c>
      <c r="DF2" s="5" t="s">
        <v>16</v>
      </c>
      <c r="DG2" s="2"/>
      <c r="DH2" s="2"/>
      <c r="DI2" s="2"/>
      <c r="DJ2" s="2"/>
      <c r="DK2" s="5" t="s">
        <v>17</v>
      </c>
      <c r="DL2" s="2"/>
      <c r="DM2" s="2"/>
      <c r="DN2" s="2"/>
      <c r="DO2" s="2"/>
      <c r="DP2" s="2"/>
      <c r="DQ2" s="2"/>
      <c r="DR2" s="2"/>
      <c r="DS2" s="2"/>
      <c r="DT2" s="2"/>
      <c r="DU2" s="2"/>
      <c r="DV2" s="2"/>
      <c r="DW2" s="2"/>
      <c r="DX2" s="2"/>
      <c r="DY2" s="2"/>
      <c r="DZ2" s="2"/>
      <c r="EA2" s="2"/>
      <c r="EB2" s="2"/>
      <c r="EC2" s="2"/>
      <c r="ED2" s="2"/>
      <c r="EE2" s="2"/>
      <c r="EF2" s="1"/>
      <c r="EG2" s="98"/>
      <c r="EH2" s="98"/>
      <c r="EI2" s="1"/>
      <c r="EJ2" s="1"/>
      <c r="EK2" s="98"/>
      <c r="EL2" s="1"/>
    </row>
    <row r="3" spans="1:142" ht="18">
      <c r="A3" s="2"/>
      <c r="B3" s="25"/>
      <c r="C3" s="3"/>
      <c r="D3" s="2"/>
      <c r="E3" s="2"/>
      <c r="F3" s="3"/>
      <c r="G3" s="3" t="s">
        <v>18</v>
      </c>
      <c r="H3" s="1"/>
      <c r="I3" s="1"/>
      <c r="J3" s="131" t="s">
        <v>19</v>
      </c>
      <c r="K3" s="132">
        <f>COUNTIF($CE$9:$CE$495,"Submitted")</f>
        <v>9</v>
      </c>
      <c r="L3" s="64"/>
      <c r="M3" s="3"/>
      <c r="N3" s="3"/>
      <c r="O3" s="1"/>
      <c r="P3" s="182"/>
      <c r="Q3" s="182"/>
      <c r="R3" s="182"/>
      <c r="S3" s="3"/>
      <c r="T3" s="3"/>
      <c r="U3" s="3"/>
      <c r="V3" s="3"/>
      <c r="W3" s="3"/>
      <c r="X3" s="3"/>
      <c r="Y3" s="3"/>
      <c r="Z3" s="3"/>
      <c r="AA3" s="101" t="s">
        <v>20</v>
      </c>
      <c r="AB3" s="102">
        <f>SUMIF(X9:X500,"Yes",AB9:AB500)</f>
        <v>0</v>
      </c>
      <c r="AC3" s="184"/>
      <c r="AD3" s="3"/>
      <c r="AE3" s="287" t="s">
        <v>21</v>
      </c>
      <c r="AF3" s="287"/>
      <c r="AG3" s="1"/>
      <c r="AH3" s="101" t="s">
        <v>20</v>
      </c>
      <c r="AI3" s="102">
        <f>SUMIF(AD9:AD500,"Yes",AL9:AL500)</f>
        <v>193769.71650000001</v>
      </c>
      <c r="AJ3" s="71"/>
      <c r="AK3" s="282"/>
      <c r="AL3" s="282"/>
      <c r="AM3" s="282"/>
      <c r="AN3" s="282"/>
      <c r="AO3" s="282"/>
      <c r="AP3" s="282"/>
      <c r="AQ3" s="1"/>
      <c r="AR3" s="1"/>
      <c r="AS3" s="1"/>
      <c r="AT3" s="1"/>
      <c r="AU3" s="1"/>
      <c r="AV3" s="1"/>
      <c r="AW3" s="1"/>
      <c r="AX3" s="1"/>
      <c r="AY3" s="1"/>
      <c r="AZ3" s="1"/>
      <c r="BA3" s="71"/>
      <c r="BB3" s="1"/>
      <c r="BC3" s="1"/>
      <c r="BD3" s="142"/>
      <c r="BE3" s="71"/>
      <c r="BF3" s="71"/>
      <c r="BG3" s="71"/>
      <c r="BH3" s="71"/>
      <c r="BI3" s="71"/>
      <c r="BJ3" s="1"/>
      <c r="BK3" s="1"/>
      <c r="BL3" s="1"/>
      <c r="BM3" s="150"/>
      <c r="BN3" s="3"/>
      <c r="BO3" s="1"/>
      <c r="BP3" s="162"/>
      <c r="BQ3" s="1"/>
      <c r="BR3" s="1"/>
      <c r="BS3" s="1"/>
      <c r="BT3" s="1"/>
      <c r="BU3" s="286" t="s">
        <v>20</v>
      </c>
      <c r="BV3" s="286"/>
      <c r="BW3" s="102">
        <f>SUM(BW9:BW500)</f>
        <v>617499.12000000011</v>
      </c>
      <c r="BX3" s="5"/>
      <c r="BY3" s="1"/>
      <c r="BZ3" s="1"/>
      <c r="CA3" s="286" t="s">
        <v>20</v>
      </c>
      <c r="CB3" s="286"/>
      <c r="CC3" s="102">
        <f>SUM(CC9:CC500)</f>
        <v>0</v>
      </c>
      <c r="CD3" s="1"/>
      <c r="CE3" s="1"/>
      <c r="CF3" s="3"/>
      <c r="CG3" s="3"/>
      <c r="CH3" s="3"/>
      <c r="CI3" s="3"/>
      <c r="CJ3" s="5"/>
      <c r="CK3" s="5"/>
      <c r="CL3" s="5"/>
      <c r="CM3" s="5"/>
      <c r="CN3" s="5"/>
      <c r="CO3" s="5"/>
      <c r="CP3" s="5"/>
      <c r="CQ3" s="5"/>
      <c r="CR3" s="5"/>
      <c r="CS3" s="5"/>
      <c r="CT3" s="5"/>
      <c r="CU3" s="5"/>
      <c r="CV3" s="5"/>
      <c r="CW3" s="2"/>
      <c r="CX3" s="5"/>
      <c r="CY3" s="288"/>
      <c r="CZ3" s="288"/>
      <c r="DA3" s="288"/>
      <c r="DB3" s="288"/>
      <c r="DC3" s="5"/>
      <c r="DD3" s="2"/>
      <c r="DE3" s="4" t="s">
        <v>22</v>
      </c>
      <c r="DF3" s="34">
        <f>AI4</f>
        <v>34707.008500000025</v>
      </c>
      <c r="DG3" s="2"/>
      <c r="DH3" s="2"/>
      <c r="DI3" s="2"/>
      <c r="DJ3" s="2"/>
      <c r="DK3" s="5"/>
      <c r="DL3" s="2"/>
      <c r="DM3" s="2"/>
      <c r="DN3" s="2"/>
      <c r="DO3" s="2"/>
      <c r="DP3" s="2"/>
      <c r="DQ3" s="2"/>
      <c r="DR3" s="2"/>
      <c r="DS3" s="2"/>
      <c r="DT3" s="2"/>
      <c r="DU3" s="2"/>
      <c r="DV3" s="2"/>
      <c r="DW3" s="2"/>
      <c r="DX3" s="2"/>
      <c r="DY3" s="2"/>
      <c r="DZ3" s="2"/>
      <c r="EA3" s="2"/>
      <c r="EB3" s="2"/>
      <c r="EC3" s="2"/>
      <c r="ED3" s="2"/>
      <c r="EE3" s="2"/>
      <c r="EF3" s="1"/>
      <c r="EG3" s="98"/>
      <c r="EH3" s="98"/>
      <c r="EI3" s="1"/>
      <c r="EJ3" s="1"/>
      <c r="EK3" s="98"/>
      <c r="EL3" s="1"/>
    </row>
    <row r="4" spans="1:142">
      <c r="A4" s="2"/>
      <c r="B4" s="64"/>
      <c r="C4" s="64"/>
      <c r="D4" s="2"/>
      <c r="E4" s="2"/>
      <c r="F4" s="3"/>
      <c r="G4" s="3" t="s">
        <v>23</v>
      </c>
      <c r="H4" s="1"/>
      <c r="I4" s="1"/>
      <c r="J4" s="131" t="s">
        <v>24</v>
      </c>
      <c r="K4" s="132">
        <f>K2-K3</f>
        <v>182</v>
      </c>
      <c r="L4" s="64"/>
      <c r="M4" s="3"/>
      <c r="N4" s="3"/>
      <c r="O4" s="1"/>
      <c r="P4" s="182"/>
      <c r="Q4" s="182"/>
      <c r="R4" s="182"/>
      <c r="S4" s="3"/>
      <c r="T4" s="3"/>
      <c r="U4" s="3"/>
      <c r="V4" s="3"/>
      <c r="W4" s="3"/>
      <c r="X4" s="3"/>
      <c r="Y4" s="3"/>
      <c r="Z4" s="3"/>
      <c r="AA4" s="101" t="s">
        <v>22</v>
      </c>
      <c r="AB4" s="102">
        <f>AB2-AB3</f>
        <v>85217.72</v>
      </c>
      <c r="AC4" s="184"/>
      <c r="AD4" s="3"/>
      <c r="AE4" s="289" t="s">
        <v>25</v>
      </c>
      <c r="AF4" s="289"/>
      <c r="AG4" s="1"/>
      <c r="AH4" s="101" t="s">
        <v>22</v>
      </c>
      <c r="AI4" s="102">
        <f>AI2-AI3</f>
        <v>34707.008500000025</v>
      </c>
      <c r="AJ4" s="71"/>
      <c r="AK4" s="282"/>
      <c r="AL4" s="282"/>
      <c r="AM4" s="282"/>
      <c r="AN4" s="282"/>
      <c r="AO4" s="282"/>
      <c r="AP4" s="282"/>
      <c r="AQ4" s="1"/>
      <c r="AR4" s="1"/>
      <c r="AS4" s="1"/>
      <c r="AT4" s="1"/>
      <c r="AU4" s="1"/>
      <c r="AV4" s="1"/>
      <c r="AW4" s="1"/>
      <c r="AX4" s="1"/>
      <c r="AY4" s="1"/>
      <c r="AZ4" s="1"/>
      <c r="BA4" s="3"/>
      <c r="BB4" s="1"/>
      <c r="BC4" s="1"/>
      <c r="BD4" s="142"/>
      <c r="BE4" s="71"/>
      <c r="BF4" s="71"/>
      <c r="BG4" s="71"/>
      <c r="BH4" s="71"/>
      <c r="BI4" s="71"/>
      <c r="BJ4" s="1"/>
      <c r="BK4" s="1"/>
      <c r="BL4" s="1"/>
      <c r="BM4" s="150"/>
      <c r="BN4" s="3"/>
      <c r="BO4" s="3"/>
      <c r="BP4" s="1"/>
      <c r="BQ4" s="1"/>
      <c r="BR4" s="1"/>
      <c r="BS4" s="1"/>
      <c r="BT4" s="1"/>
      <c r="BU4" s="286" t="s">
        <v>22</v>
      </c>
      <c r="BV4" s="286"/>
      <c r="BW4" s="102">
        <f>BW2-BW3</f>
        <v>21.059999999823049</v>
      </c>
      <c r="BX4" s="5"/>
      <c r="BY4" s="1"/>
      <c r="BZ4" s="1"/>
      <c r="CA4" s="286" t="s">
        <v>22</v>
      </c>
      <c r="CB4" s="286"/>
      <c r="CC4" s="102">
        <f>CC2-CC3</f>
        <v>387737</v>
      </c>
      <c r="CD4" s="1"/>
      <c r="CE4" s="32"/>
      <c r="CF4" s="3"/>
      <c r="CG4" s="3"/>
      <c r="CH4" s="3"/>
      <c r="CI4" s="3"/>
      <c r="CJ4" s="5"/>
      <c r="CK4" s="5"/>
      <c r="CL4" s="5"/>
      <c r="CM4" s="5"/>
      <c r="CN4" s="5"/>
      <c r="CO4" s="5"/>
      <c r="CP4" s="5"/>
      <c r="CQ4" s="5"/>
      <c r="CR4" s="5"/>
      <c r="CS4" s="5"/>
      <c r="CT4" s="5"/>
      <c r="CU4" s="5"/>
      <c r="CV4" s="5"/>
      <c r="CW4" s="64"/>
      <c r="CX4" s="5"/>
      <c r="CY4" s="5"/>
      <c r="CZ4" s="5"/>
      <c r="DA4" s="65"/>
      <c r="DB4" s="65"/>
      <c r="DC4" s="5"/>
      <c r="DD4" s="2"/>
      <c r="DE4" s="4" t="s">
        <v>20</v>
      </c>
      <c r="DF4" s="34">
        <f>AI3</f>
        <v>193769.71650000001</v>
      </c>
      <c r="DG4" s="2"/>
      <c r="DH4" s="2"/>
      <c r="DI4" s="2"/>
      <c r="DJ4" s="2"/>
      <c r="DK4" s="5"/>
      <c r="DL4" s="2"/>
      <c r="DM4" s="2"/>
      <c r="DN4" s="2"/>
      <c r="DO4" s="2"/>
      <c r="DP4" s="2"/>
      <c r="DQ4" s="2"/>
      <c r="DR4" s="2"/>
      <c r="DS4" s="2"/>
      <c r="DT4" s="2"/>
      <c r="DU4" s="2"/>
      <c r="DV4" s="2"/>
      <c r="DW4" s="2"/>
      <c r="DX4" s="2"/>
      <c r="DY4" s="2"/>
      <c r="DZ4" s="2"/>
      <c r="EA4" s="2"/>
      <c r="EB4" s="2"/>
      <c r="EC4" s="2"/>
      <c r="ED4" s="2"/>
      <c r="EE4" s="2"/>
      <c r="EF4" s="1"/>
      <c r="EG4" s="98"/>
      <c r="EH4" s="98"/>
      <c r="EI4" s="1"/>
      <c r="EJ4" s="1"/>
      <c r="EK4" s="98"/>
      <c r="EL4" s="1"/>
    </row>
    <row r="5" spans="1:142">
      <c r="A5" s="174"/>
      <c r="B5" s="174"/>
      <c r="C5" s="278" t="s">
        <v>26</v>
      </c>
      <c r="D5" s="278"/>
      <c r="E5" s="174"/>
      <c r="F5" s="7"/>
      <c r="G5" s="3"/>
      <c r="H5" s="67"/>
      <c r="I5" s="67"/>
      <c r="J5" s="25"/>
      <c r="K5" s="3"/>
      <c r="L5" s="5"/>
      <c r="M5" s="7"/>
      <c r="N5" s="3"/>
      <c r="O5" s="7"/>
      <c r="P5" s="150"/>
      <c r="Q5" s="150"/>
      <c r="R5" s="157"/>
      <c r="S5" s="3"/>
      <c r="T5" s="3"/>
      <c r="U5" s="3"/>
      <c r="V5" s="3"/>
      <c r="W5" s="3"/>
      <c r="X5" s="3"/>
      <c r="Y5" s="3"/>
      <c r="Z5" s="3"/>
      <c r="AA5" s="3"/>
      <c r="AB5" s="3"/>
      <c r="AC5" s="3"/>
      <c r="AD5" s="3"/>
      <c r="AE5" s="3"/>
      <c r="AF5" s="3"/>
      <c r="AG5" s="26"/>
      <c r="AH5" s="279" t="s">
        <v>27</v>
      </c>
      <c r="AI5" s="279"/>
      <c r="AJ5" s="66"/>
      <c r="AK5" s="165"/>
      <c r="AL5" s="66"/>
      <c r="AM5" s="66"/>
      <c r="AN5" s="66"/>
      <c r="AO5" s="66"/>
      <c r="AP5" s="66"/>
      <c r="AQ5" s="66"/>
      <c r="AR5" s="66"/>
      <c r="AS5" s="66"/>
      <c r="AT5" s="248"/>
      <c r="AU5" s="66"/>
      <c r="AV5" s="66"/>
      <c r="AW5" s="66"/>
      <c r="AX5" s="66"/>
      <c r="AY5" s="279" t="s">
        <v>28</v>
      </c>
      <c r="AZ5" s="279"/>
      <c r="BA5" s="3"/>
      <c r="BB5" s="185" t="s">
        <v>29</v>
      </c>
      <c r="BC5" s="185"/>
      <c r="BD5" s="166"/>
      <c r="BE5" s="167"/>
      <c r="BF5" s="167"/>
      <c r="BG5" s="167"/>
      <c r="BH5" s="167"/>
      <c r="BI5" s="167"/>
      <c r="BJ5" s="175"/>
      <c r="BK5" s="175"/>
      <c r="BL5" s="175"/>
      <c r="BM5" s="146"/>
      <c r="BN5" s="8"/>
      <c r="BO5" s="3"/>
      <c r="BP5" s="25"/>
      <c r="BQ5" s="25"/>
      <c r="BR5" s="25"/>
      <c r="BS5" s="25"/>
      <c r="BT5" s="25"/>
      <c r="BU5" s="280" t="s">
        <v>30</v>
      </c>
      <c r="BV5" s="280"/>
      <c r="BW5" s="280"/>
      <c r="BX5" s="280"/>
      <c r="BY5" s="135" t="s">
        <v>31</v>
      </c>
      <c r="BZ5" s="254"/>
      <c r="CA5" s="254"/>
      <c r="CB5" s="254"/>
      <c r="CC5" s="254"/>
      <c r="CD5" s="1"/>
      <c r="CE5" s="1"/>
      <c r="CF5" s="64"/>
      <c r="CG5" s="64"/>
      <c r="CH5" s="64"/>
      <c r="CI5" s="64"/>
      <c r="CJ5" s="281" t="s">
        <v>32</v>
      </c>
      <c r="CK5" s="281"/>
      <c r="CL5" s="281"/>
      <c r="CM5" s="281"/>
      <c r="CN5" s="281"/>
      <c r="CO5" s="281"/>
      <c r="CP5" s="281"/>
      <c r="CQ5" s="281"/>
      <c r="CR5" s="136"/>
      <c r="CS5" s="136"/>
      <c r="CT5" s="136"/>
      <c r="CU5" s="136"/>
      <c r="CV5" s="136"/>
      <c r="CW5" s="24"/>
      <c r="CX5" s="136" t="s">
        <v>33</v>
      </c>
      <c r="CY5" s="271" t="s">
        <v>34</v>
      </c>
      <c r="CZ5" s="271"/>
      <c r="DA5" s="271"/>
      <c r="DB5" s="271"/>
      <c r="DC5" s="271"/>
      <c r="DD5" s="271"/>
      <c r="DE5" s="4" t="s">
        <v>13</v>
      </c>
      <c r="DF5" s="34">
        <f>AI2</f>
        <v>228476.72500000003</v>
      </c>
      <c r="DG5" s="2"/>
      <c r="DH5" s="2"/>
      <c r="DI5" s="2"/>
      <c r="DJ5" s="2"/>
      <c r="DK5" s="65"/>
      <c r="DL5" s="2"/>
      <c r="DM5" s="2"/>
      <c r="DN5" s="2"/>
      <c r="DO5" s="2"/>
      <c r="DP5" s="2"/>
      <c r="DQ5" s="2"/>
      <c r="DR5" s="2"/>
      <c r="DS5" s="2"/>
      <c r="DT5" s="2"/>
      <c r="DU5" s="2"/>
      <c r="DV5" s="2"/>
      <c r="DW5" s="2"/>
      <c r="DX5" s="2"/>
      <c r="DY5" s="2"/>
      <c r="DZ5" s="2"/>
      <c r="EA5" s="2"/>
      <c r="EB5" s="2"/>
      <c r="EC5" s="2"/>
      <c r="ED5" s="2"/>
      <c r="EE5" s="2"/>
      <c r="EF5" s="1"/>
      <c r="EG5" s="98"/>
      <c r="EH5" s="98"/>
      <c r="EI5" s="1"/>
      <c r="EJ5" s="1"/>
      <c r="EK5" s="98"/>
      <c r="EL5" s="1"/>
    </row>
    <row r="6" spans="1:142">
      <c r="A6" s="272"/>
      <c r="B6" s="272"/>
      <c r="C6" s="272"/>
      <c r="D6" s="272"/>
      <c r="E6" s="272"/>
      <c r="F6" s="7"/>
      <c r="G6" s="3"/>
      <c r="H6" s="67"/>
      <c r="I6" s="67"/>
      <c r="J6" s="25"/>
      <c r="K6" s="3"/>
      <c r="L6" s="5"/>
      <c r="M6" s="7"/>
      <c r="N6" s="3"/>
      <c r="O6" s="7"/>
      <c r="P6" s="150"/>
      <c r="Q6" s="150"/>
      <c r="R6" s="157"/>
      <c r="S6" s="3"/>
      <c r="T6" s="146"/>
      <c r="U6" s="3"/>
      <c r="V6" s="3"/>
      <c r="W6" s="3"/>
      <c r="X6" s="3"/>
      <c r="Y6" s="3"/>
      <c r="Z6" s="3"/>
      <c r="AA6" s="3"/>
      <c r="AB6" s="3"/>
      <c r="AC6" s="3"/>
      <c r="AD6" s="3"/>
      <c r="AE6" s="7"/>
      <c r="AF6" s="7"/>
      <c r="AG6" s="26"/>
      <c r="AH6" s="273" t="s">
        <v>35</v>
      </c>
      <c r="AI6" s="273"/>
      <c r="AJ6" s="70"/>
      <c r="AK6" s="70"/>
      <c r="AL6" s="70"/>
      <c r="AM6" s="70"/>
      <c r="AN6" s="70"/>
      <c r="AO6" s="70"/>
      <c r="AP6" s="70"/>
      <c r="AQ6" s="70"/>
      <c r="AR6" s="70"/>
      <c r="AS6" s="70"/>
      <c r="AT6" s="143"/>
      <c r="AU6" s="70"/>
      <c r="AV6" s="70"/>
      <c r="AW6" s="70"/>
      <c r="AX6" s="70"/>
      <c r="AY6" s="1"/>
      <c r="AZ6" s="1"/>
      <c r="BA6" s="3"/>
      <c r="BB6" s="6"/>
      <c r="BC6" s="6"/>
      <c r="BD6" s="143"/>
      <c r="BE6" s="70"/>
      <c r="BF6" s="70"/>
      <c r="BG6" s="70"/>
      <c r="BH6" s="70"/>
      <c r="BI6" s="70"/>
      <c r="BJ6" s="6"/>
      <c r="BK6" s="6"/>
      <c r="BL6" s="6"/>
      <c r="BM6" s="146"/>
      <c r="BN6" s="8"/>
      <c r="BO6" s="3"/>
      <c r="BP6" s="25"/>
      <c r="BQ6" s="25"/>
      <c r="BR6" s="25"/>
      <c r="BS6" s="25"/>
      <c r="BT6" s="25"/>
      <c r="BU6" s="274" t="s">
        <v>36</v>
      </c>
      <c r="BV6" s="274"/>
      <c r="BW6" s="274"/>
      <c r="BX6" s="274"/>
      <c r="BY6" s="4"/>
      <c r="BZ6" s="4"/>
      <c r="CA6" s="4"/>
      <c r="CB6" s="4"/>
      <c r="CC6" s="4"/>
      <c r="CD6" s="34"/>
      <c r="CE6" s="64"/>
      <c r="CF6" s="64"/>
      <c r="CG6" s="64"/>
      <c r="CH6" s="64"/>
      <c r="CI6" s="64"/>
      <c r="CJ6" s="3"/>
      <c r="CK6" s="3"/>
      <c r="CL6" s="3"/>
      <c r="CM6" s="3"/>
      <c r="CN6" s="3"/>
      <c r="CO6" s="3"/>
      <c r="CP6" s="3"/>
      <c r="CQ6" s="3"/>
      <c r="CR6" s="3"/>
      <c r="CS6" s="3"/>
      <c r="CT6" s="3"/>
      <c r="CU6" s="3"/>
      <c r="CV6" s="3"/>
      <c r="CW6" s="68"/>
      <c r="CX6" s="3"/>
      <c r="CY6" s="175"/>
      <c r="CZ6" s="175"/>
      <c r="DA6" s="175"/>
      <c r="DB6" s="175"/>
      <c r="DC6" s="175"/>
      <c r="DD6" s="2"/>
      <c r="DE6" s="2"/>
      <c r="DF6" s="2"/>
      <c r="DG6" s="2"/>
      <c r="DH6" s="2"/>
      <c r="DI6" s="2"/>
      <c r="DJ6" s="2"/>
      <c r="DK6" s="65"/>
      <c r="DL6" s="2"/>
      <c r="DM6" s="2"/>
      <c r="DN6" s="2"/>
      <c r="DO6" s="2"/>
      <c r="DP6" s="2"/>
      <c r="DQ6" s="2"/>
      <c r="DR6" s="2"/>
      <c r="DS6" s="2"/>
      <c r="DT6" s="2"/>
      <c r="DU6" s="2"/>
      <c r="DV6" s="2"/>
      <c r="DW6" s="2"/>
      <c r="DX6" s="2"/>
      <c r="DY6" s="2"/>
      <c r="DZ6" s="2"/>
      <c r="EA6" s="2"/>
      <c r="EB6" s="2"/>
      <c r="EC6" s="2"/>
      <c r="ED6" s="2"/>
      <c r="EE6" s="2"/>
      <c r="EF6" s="1"/>
      <c r="EG6" s="98"/>
      <c r="EH6" s="98"/>
      <c r="EI6" s="1"/>
      <c r="EJ6" s="1"/>
      <c r="EK6" s="98"/>
      <c r="EL6" s="1"/>
    </row>
    <row r="7" spans="1:142">
      <c r="A7" s="1"/>
      <c r="B7" s="1"/>
      <c r="C7" s="1"/>
      <c r="D7" s="1"/>
      <c r="E7" s="1"/>
      <c r="F7" s="7"/>
      <c r="G7" s="3"/>
      <c r="H7" s="67"/>
      <c r="I7" s="67"/>
      <c r="J7" s="25"/>
      <c r="K7" s="3"/>
      <c r="L7" s="5"/>
      <c r="M7" s="7"/>
      <c r="N7" s="3"/>
      <c r="O7" s="7"/>
      <c r="P7" s="150"/>
      <c r="Q7" s="150"/>
      <c r="R7" s="150"/>
      <c r="S7" s="3"/>
      <c r="T7" s="3"/>
      <c r="U7" s="3"/>
      <c r="V7" s="3"/>
      <c r="W7" s="3"/>
      <c r="X7" s="3"/>
      <c r="Y7" s="3"/>
      <c r="Z7" s="3"/>
      <c r="AA7" s="3"/>
      <c r="AB7" s="6" t="s">
        <v>37</v>
      </c>
      <c r="AC7" s="6"/>
      <c r="AD7" s="151"/>
      <c r="AE7" s="275" t="s">
        <v>38</v>
      </c>
      <c r="AF7" s="275"/>
      <c r="AG7" s="275"/>
      <c r="AH7" s="275"/>
      <c r="AI7" s="275"/>
      <c r="AJ7" s="275"/>
      <c r="AK7" s="275"/>
      <c r="AL7" s="275"/>
      <c r="AM7" s="275"/>
      <c r="AN7" s="275"/>
      <c r="AO7" s="275"/>
      <c r="AP7" s="275"/>
      <c r="AQ7" s="275"/>
      <c r="AR7" s="275"/>
      <c r="AS7" s="275"/>
      <c r="AT7" s="275"/>
      <c r="AU7" s="275"/>
      <c r="AV7" s="275"/>
      <c r="AW7" s="275"/>
      <c r="AX7" s="200"/>
      <c r="AY7" s="66"/>
      <c r="AZ7" s="66"/>
      <c r="BA7" s="276" t="s">
        <v>39</v>
      </c>
      <c r="BB7" s="276"/>
      <c r="BC7" s="276"/>
      <c r="BD7" s="276"/>
      <c r="BE7" s="276"/>
      <c r="BF7" s="276"/>
      <c r="BG7" s="176"/>
      <c r="BH7" s="176"/>
      <c r="BI7" s="176"/>
      <c r="BJ7" s="190"/>
      <c r="BK7" s="190"/>
      <c r="BL7" s="190"/>
      <c r="BM7" s="146"/>
      <c r="BN7" s="8"/>
      <c r="BO7" s="277" t="s">
        <v>40</v>
      </c>
      <c r="BP7" s="277"/>
      <c r="BQ7" s="277"/>
      <c r="BR7" s="277"/>
      <c r="BS7" s="277"/>
      <c r="BT7" s="277"/>
      <c r="BU7" s="277"/>
      <c r="BV7" s="277"/>
      <c r="BW7" s="277"/>
      <c r="BX7" s="277"/>
      <c r="BY7" s="1"/>
      <c r="BZ7" s="1"/>
      <c r="CA7" s="1"/>
      <c r="CB7" s="1"/>
      <c r="CC7" s="1"/>
      <c r="CD7" s="1"/>
      <c r="CE7" s="64"/>
      <c r="CF7" s="64"/>
      <c r="CG7" s="64"/>
      <c r="CH7" s="64"/>
      <c r="CI7" s="64"/>
      <c r="CJ7" s="3"/>
      <c r="CK7" s="3"/>
      <c r="CL7" s="3"/>
      <c r="CM7" s="3"/>
      <c r="CN7" s="3"/>
      <c r="CO7" s="3"/>
      <c r="CP7" s="3"/>
      <c r="CQ7" s="3"/>
      <c r="CR7" s="3"/>
      <c r="CS7" s="3"/>
      <c r="CT7" s="3"/>
      <c r="CU7" s="3"/>
      <c r="CV7" s="3"/>
      <c r="CW7" s="24"/>
      <c r="CX7" s="3"/>
      <c r="CY7" s="1"/>
      <c r="CZ7" s="1"/>
      <c r="DA7" s="1"/>
      <c r="DB7" s="1"/>
      <c r="DC7" s="1"/>
      <c r="DD7" s="2"/>
      <c r="DE7" s="2"/>
      <c r="DF7" s="2"/>
      <c r="DG7" s="2"/>
      <c r="DH7" s="2"/>
      <c r="DI7" s="2"/>
      <c r="DJ7" s="2"/>
      <c r="DK7" s="65"/>
      <c r="DL7" s="2"/>
      <c r="DM7" s="2"/>
      <c r="DN7" s="2"/>
      <c r="DO7" s="2"/>
      <c r="DP7" s="2"/>
      <c r="DQ7" s="2"/>
      <c r="DR7" s="2"/>
      <c r="DS7" s="2"/>
      <c r="DT7" s="2"/>
      <c r="DU7" s="2"/>
      <c r="DV7" s="2"/>
      <c r="DW7" s="2"/>
      <c r="DX7" s="2"/>
      <c r="DY7" s="2"/>
      <c r="DZ7" s="2"/>
      <c r="EA7" s="2"/>
      <c r="EB7" s="2"/>
      <c r="EC7" s="2"/>
      <c r="ED7" s="2"/>
      <c r="EE7" s="2"/>
      <c r="EF7" s="1"/>
      <c r="EG7" s="98"/>
      <c r="EH7" s="98"/>
      <c r="EI7" s="1"/>
      <c r="EJ7" s="1"/>
      <c r="EK7" s="98"/>
      <c r="EL7" s="1"/>
    </row>
    <row r="8" spans="1:142" ht="48">
      <c r="A8" s="137" t="s">
        <v>41</v>
      </c>
      <c r="B8" s="138" t="s">
        <v>42</v>
      </c>
      <c r="C8" s="137" t="s">
        <v>43</v>
      </c>
      <c r="D8" s="137" t="s">
        <v>44</v>
      </c>
      <c r="E8" s="137" t="s">
        <v>45</v>
      </c>
      <c r="F8" s="154" t="s">
        <v>46</v>
      </c>
      <c r="G8" s="154" t="s">
        <v>47</v>
      </c>
      <c r="H8" s="154" t="s">
        <v>48</v>
      </c>
      <c r="I8" s="154" t="s">
        <v>49</v>
      </c>
      <c r="J8" s="154" t="s">
        <v>50</v>
      </c>
      <c r="K8" s="154" t="s">
        <v>51</v>
      </c>
      <c r="L8" s="154" t="s">
        <v>52</v>
      </c>
      <c r="M8" s="154" t="s">
        <v>53</v>
      </c>
      <c r="N8" s="154" t="s">
        <v>54</v>
      </c>
      <c r="O8" s="154" t="s">
        <v>55</v>
      </c>
      <c r="P8" s="154" t="s">
        <v>56</v>
      </c>
      <c r="Q8" s="154" t="s">
        <v>57</v>
      </c>
      <c r="R8" s="154" t="s">
        <v>58</v>
      </c>
      <c r="S8" s="154" t="s">
        <v>59</v>
      </c>
      <c r="T8" s="154" t="s">
        <v>60</v>
      </c>
      <c r="U8" s="154" t="s">
        <v>61</v>
      </c>
      <c r="V8" s="154" t="s">
        <v>62</v>
      </c>
      <c r="W8" s="163" t="s">
        <v>63</v>
      </c>
      <c r="X8" s="163" t="s">
        <v>64</v>
      </c>
      <c r="Y8" s="163" t="s">
        <v>65</v>
      </c>
      <c r="Z8" s="163" t="s">
        <v>66</v>
      </c>
      <c r="AA8" s="163" t="s">
        <v>67</v>
      </c>
      <c r="AB8" s="163" t="s">
        <v>68</v>
      </c>
      <c r="AC8" s="163" t="s">
        <v>69</v>
      </c>
      <c r="AD8" s="152" t="s">
        <v>70</v>
      </c>
      <c r="AE8" s="152" t="s">
        <v>71</v>
      </c>
      <c r="AF8" s="152" t="s">
        <v>72</v>
      </c>
      <c r="AG8" s="152" t="s">
        <v>73</v>
      </c>
      <c r="AH8" s="152" t="s">
        <v>74</v>
      </c>
      <c r="AI8" s="152" t="s">
        <v>75</v>
      </c>
      <c r="AJ8" s="152" t="s">
        <v>76</v>
      </c>
      <c r="AK8" s="152" t="s">
        <v>77</v>
      </c>
      <c r="AL8" s="152" t="s">
        <v>78</v>
      </c>
      <c r="AM8" s="152" t="s">
        <v>79</v>
      </c>
      <c r="AN8" s="152" t="s">
        <v>80</v>
      </c>
      <c r="AO8" s="152" t="s">
        <v>81</v>
      </c>
      <c r="AP8" s="245" t="s">
        <v>82</v>
      </c>
      <c r="AQ8" s="245" t="s">
        <v>83</v>
      </c>
      <c r="AR8" s="152" t="s">
        <v>84</v>
      </c>
      <c r="AS8" s="152" t="s">
        <v>85</v>
      </c>
      <c r="AT8" s="249" t="s">
        <v>86</v>
      </c>
      <c r="AU8" s="152" t="s">
        <v>87</v>
      </c>
      <c r="AV8" s="152" t="s">
        <v>88</v>
      </c>
      <c r="AW8" s="152" t="s">
        <v>89</v>
      </c>
      <c r="AX8" s="181" t="s">
        <v>90</v>
      </c>
      <c r="AY8" s="138" t="s">
        <v>91</v>
      </c>
      <c r="AZ8" s="138" t="s">
        <v>92</v>
      </c>
      <c r="BA8" s="153" t="s">
        <v>93</v>
      </c>
      <c r="BB8" s="153" t="s">
        <v>94</v>
      </c>
      <c r="BC8" s="153" t="s">
        <v>49</v>
      </c>
      <c r="BD8" s="153" t="s">
        <v>95</v>
      </c>
      <c r="BE8" s="153" t="s">
        <v>96</v>
      </c>
      <c r="BF8" s="153" t="s">
        <v>97</v>
      </c>
      <c r="BG8" s="153" t="s">
        <v>98</v>
      </c>
      <c r="BH8" s="153" t="s">
        <v>99</v>
      </c>
      <c r="BI8" s="153" t="s">
        <v>100</v>
      </c>
      <c r="BJ8" s="153" t="s">
        <v>101</v>
      </c>
      <c r="BK8" s="153" t="s">
        <v>102</v>
      </c>
      <c r="BL8" s="153" t="s">
        <v>103</v>
      </c>
      <c r="BM8" s="155" t="s">
        <v>104</v>
      </c>
      <c r="BN8" s="154" t="s">
        <v>105</v>
      </c>
      <c r="BO8" s="156" t="s">
        <v>106</v>
      </c>
      <c r="BP8" s="156" t="s">
        <v>107</v>
      </c>
      <c r="BQ8" s="156" t="s">
        <v>108</v>
      </c>
      <c r="BR8" s="156" t="s">
        <v>109</v>
      </c>
      <c r="BS8" s="156" t="s">
        <v>110</v>
      </c>
      <c r="BT8" s="156" t="s">
        <v>111</v>
      </c>
      <c r="BU8" s="156" t="s">
        <v>112</v>
      </c>
      <c r="BV8" s="156" t="s">
        <v>113</v>
      </c>
      <c r="BW8" s="156" t="s">
        <v>114</v>
      </c>
      <c r="BX8" s="158" t="s">
        <v>115</v>
      </c>
      <c r="BY8" s="140" t="s">
        <v>116</v>
      </c>
      <c r="BZ8" s="252" t="s">
        <v>117</v>
      </c>
      <c r="CA8" s="252" t="s">
        <v>118</v>
      </c>
      <c r="CB8" s="252" t="s">
        <v>119</v>
      </c>
      <c r="CC8" s="252" t="s">
        <v>120</v>
      </c>
      <c r="CD8" s="139" t="s">
        <v>121</v>
      </c>
      <c r="CE8" s="163" t="s">
        <v>122</v>
      </c>
      <c r="CF8" s="163" t="s">
        <v>123</v>
      </c>
      <c r="CG8" s="163" t="s">
        <v>124</v>
      </c>
      <c r="CH8" s="163" t="s">
        <v>125</v>
      </c>
      <c r="CI8" s="163" t="s">
        <v>126</v>
      </c>
      <c r="CJ8" s="164" t="s">
        <v>127</v>
      </c>
      <c r="CK8" s="164" t="s">
        <v>128</v>
      </c>
      <c r="CL8" s="164" t="s">
        <v>129</v>
      </c>
      <c r="CM8" s="164" t="s">
        <v>130</v>
      </c>
      <c r="CN8" s="164" t="s">
        <v>131</v>
      </c>
      <c r="CO8" s="164" t="s">
        <v>132</v>
      </c>
      <c r="CP8" s="164" t="s">
        <v>133</v>
      </c>
      <c r="CQ8" s="164" t="s">
        <v>134</v>
      </c>
      <c r="CR8" s="164" t="s">
        <v>135</v>
      </c>
      <c r="CS8" s="164" t="s">
        <v>136</v>
      </c>
      <c r="CT8" s="164" t="s">
        <v>137</v>
      </c>
      <c r="CU8" s="164" t="s">
        <v>138</v>
      </c>
      <c r="CV8" s="164" t="s">
        <v>139</v>
      </c>
      <c r="CW8" s="137" t="s">
        <v>140</v>
      </c>
      <c r="CX8" s="140" t="s">
        <v>141</v>
      </c>
      <c r="CY8" s="138" t="s">
        <v>142</v>
      </c>
      <c r="CZ8" s="138" t="s">
        <v>143</v>
      </c>
      <c r="DA8" s="138" t="s">
        <v>144</v>
      </c>
      <c r="DB8" s="138" t="s">
        <v>145</v>
      </c>
      <c r="DC8" s="138" t="s">
        <v>146</v>
      </c>
      <c r="DD8" s="138" t="s">
        <v>147</v>
      </c>
      <c r="DE8" s="2"/>
      <c r="DF8" s="2"/>
      <c r="DG8" s="2"/>
      <c r="DH8" s="2"/>
      <c r="DI8" s="2"/>
      <c r="DJ8" s="2"/>
      <c r="DK8" s="134"/>
      <c r="DL8" s="2"/>
      <c r="DM8" s="2"/>
      <c r="DN8" s="2"/>
      <c r="DO8" s="2"/>
      <c r="DP8" s="2"/>
      <c r="DQ8" s="2"/>
      <c r="DR8" s="2"/>
      <c r="DS8" s="2"/>
      <c r="DT8" s="2"/>
      <c r="DU8" s="2"/>
      <c r="DV8" s="2"/>
      <c r="DW8" s="2"/>
      <c r="DX8" s="2"/>
      <c r="DY8" s="2"/>
      <c r="DZ8" s="2"/>
      <c r="EA8" s="2"/>
      <c r="EB8" s="2"/>
      <c r="EC8" s="2"/>
      <c r="ED8" s="2"/>
      <c r="EE8" s="2"/>
      <c r="EF8" s="1"/>
      <c r="EG8" s="98"/>
      <c r="EH8" s="98"/>
      <c r="EI8" s="1"/>
      <c r="EJ8" s="1"/>
      <c r="EK8" s="98"/>
      <c r="EL8" s="1"/>
    </row>
    <row r="9" spans="1:142">
      <c r="A9" s="32">
        <f t="shared" ref="A9:A72" si="0">F9</f>
        <v>497</v>
      </c>
      <c r="B9" s="3" t="str">
        <f t="shared" ref="B9:B72" si="1">IF(C9&lt;&gt;"","sv_statement//"&amp;C9&amp;"//Export Statement&amp;PDFID="&amp;D9&amp;"&amp;SO=Y","")</f>
        <v>sv_statement//Statement2//Export Statement&amp;PDFID=Jimmy Mcmulin_497&amp;SO=Y</v>
      </c>
      <c r="C9" s="5" t="s">
        <v>148</v>
      </c>
      <c r="D9" s="5" t="str">
        <f t="shared" ref="D9:D72" si="2">G9&amp;"_"&amp;F9</f>
        <v>Jimmy Mcmulin_497</v>
      </c>
      <c r="E9" s="5"/>
      <c r="F9" s="5">
        <v>497</v>
      </c>
      <c r="G9" s="22" t="s">
        <v>149</v>
      </c>
      <c r="H9" s="5" t="s">
        <v>150</v>
      </c>
      <c r="I9" s="5" t="s">
        <v>151</v>
      </c>
      <c r="J9" s="5" t="s">
        <v>152</v>
      </c>
      <c r="K9" s="5" t="s">
        <v>153</v>
      </c>
      <c r="L9" s="31">
        <f t="shared" ref="L9:L72" si="3">IFERROR(INDEX($F$9:$F$496,MATCH(M9,$G$9:$G$496,0)),"")</f>
        <v>11308</v>
      </c>
      <c r="M9" s="5" t="s">
        <v>154</v>
      </c>
      <c r="N9" s="22" t="s">
        <v>155</v>
      </c>
      <c r="O9" s="100">
        <v>45474</v>
      </c>
      <c r="P9" s="146">
        <f>VLOOKUP(I9,'Job Codes'!$B$2:$I$120,4,FALSE)</f>
        <v>27000</v>
      </c>
      <c r="Q9" s="146">
        <f>VLOOKUP(I9,'Job Codes'!$B$2:$I$120,5,FALSE)</f>
        <v>35100</v>
      </c>
      <c r="R9" s="146">
        <f>VLOOKUP(I9,'Job Codes'!$B$2:$I$120,6,FALSE)</f>
        <v>42120</v>
      </c>
      <c r="S9" s="22" t="s">
        <v>156</v>
      </c>
      <c r="T9" s="146">
        <v>70000</v>
      </c>
      <c r="U9" s="8">
        <f>VLOOKUP(S9,Data!$H$22:$I$25,2,FALSE)*T9</f>
        <v>47110</v>
      </c>
      <c r="V9" s="180">
        <f t="shared" ref="V9:V72" si="4">IFERROR(U9/Q9,0)</f>
        <v>1.3421652421652421</v>
      </c>
      <c r="W9" s="180">
        <f t="shared" ref="W9:W72" si="5">IF((Q9-U9)/U9&lt;0,0%,(Q9-U9)/U9)</f>
        <v>0</v>
      </c>
      <c r="X9" s="22" t="str">
        <f t="shared" ref="X9:X72" si="6">IF(W9&gt;5%,"Yes","No")</f>
        <v>No</v>
      </c>
      <c r="Y9" s="180">
        <f t="shared" ref="Y9:Y72" si="7">IF(X9="Yes",2%,0)</f>
        <v>0</v>
      </c>
      <c r="Z9" s="146">
        <f t="shared" ref="Z9:Z72" si="8">IF(Y9=0,0,Y9*T9)</f>
        <v>0</v>
      </c>
      <c r="AA9" s="146">
        <f t="shared" ref="AA9:AA72" si="9">IF(Y9=0,0,Y9*U9)</f>
        <v>0</v>
      </c>
      <c r="AB9" s="72"/>
      <c r="AC9" s="146">
        <f>AB9/VLOOKUP(S9,Data!$H$22:$I$25,2,FALSE)</f>
        <v>0</v>
      </c>
      <c r="AD9" s="22" t="s">
        <v>157</v>
      </c>
      <c r="AE9" s="146">
        <f>VLOOKUP(S9,Data!$H$22:$J$25,3,FALSE)*T9</f>
        <v>2450.0000000000005</v>
      </c>
      <c r="AF9" s="8">
        <f>VLOOKUP(S9,Data!$H$22:$I$25,2,FALSE)*AE9</f>
        <v>1648.8500000000004</v>
      </c>
      <c r="AG9" s="8" t="s">
        <v>158</v>
      </c>
      <c r="AH9" s="23">
        <v>0.05</v>
      </c>
      <c r="AI9" s="72"/>
      <c r="AJ9" s="159">
        <f t="shared" ref="AJ9:AJ72" si="10">IFERROR(AL9/(U9+AB9),0)</f>
        <v>0.05</v>
      </c>
      <c r="AK9" s="168">
        <f>AJ9*T9</f>
        <v>3500</v>
      </c>
      <c r="AL9" s="160">
        <f>IF(AH9="",AI9,U9*AH9)</f>
        <v>2355.5</v>
      </c>
      <c r="AM9" s="168">
        <f t="shared" ref="AM9:AM72" si="11">T9+AC9+AK9</f>
        <v>73500</v>
      </c>
      <c r="AN9" s="160">
        <f t="shared" ref="AN9:AN72" si="12">U9+AB9+AL9</f>
        <v>49465.5</v>
      </c>
      <c r="AO9" s="160" t="str">
        <f>IF(AN9&gt;R9,"Yes by USD " &amp;TEXT((AN9-R9),"#,##0"),"No")</f>
        <v>Yes by USD 7,346</v>
      </c>
      <c r="AP9" s="146">
        <f>IF(AQ9=0,0,AQ9/VLOOKUP(S9,Data!$H$22:$I$25,2,FALSE))</f>
        <v>3500</v>
      </c>
      <c r="AQ9" s="183">
        <f t="shared" ref="AQ9:AQ72" si="13">IF(AN9&lt;R9,0,IF(R9-AN9&lt;0,IF(AN9-R9&gt;AL9,AL9,AN9-R9)))</f>
        <v>2355.5</v>
      </c>
      <c r="AR9" s="165">
        <f t="shared" ref="AR9:AR72" si="14">IF(AK9-AP9&lt;0,0,AK9-AP9)</f>
        <v>0</v>
      </c>
      <c r="AS9" s="183">
        <f t="shared" ref="AS9:AS72" si="15">IF(AL9-AQ9&lt;0,0,AL9-AQ9)</f>
        <v>0</v>
      </c>
      <c r="AT9" s="250">
        <f t="shared" ref="AT9:AT72" si="16">IFERROR(AS9/(U9+AB9),0)</f>
        <v>0</v>
      </c>
      <c r="AU9" s="146">
        <f t="shared" ref="AU9:AU72" si="17">AR9+T9+AC9</f>
        <v>70000</v>
      </c>
      <c r="AV9" s="8">
        <f t="shared" ref="AV9:AV72" si="18">AS9+U9+AB9</f>
        <v>47110</v>
      </c>
      <c r="AW9" s="8" t="str">
        <f t="shared" ref="AW9:AW72" si="19">IF(AD9="No","Not Eligible for Merit",IF(AND(AH9&gt;0,AI9&gt;0),"Enter only % Increase OR $ Increase",IF(AND(AG9="Exceeds",OR(AJ9&lt;0.025,AJ9&gt;0.06)),"Not within guidelines",IF(AND(AG9="Meets",OR(AJ9&lt;0.01,AJ9&gt;0.025)),"Not within guidelines",IF(AND(AG9="Below",AJ9&lt;&gt;0),"Not within guidelines",IF(AND(AL9=AQ9,AQ9&gt;0),"Employee to receive full proposed merit increase as a lump sum",IF(AND(AQ9&gt;0,AQ9&lt;AL9),"Employee to receive part of proposed increase as a lump sum","")))))))</f>
        <v>Employee to receive full proposed merit increase as a lump sum</v>
      </c>
      <c r="AX9" s="180">
        <f t="shared" ref="AX9:AX72" si="20">IFERROR(AV9/Q9,0)</f>
        <v>1.3421652421652421</v>
      </c>
      <c r="AY9" s="146">
        <f t="shared" ref="AY9:AY72" si="21">IF(OR(AND(AG9="Exceeds",OR(AJ9&lt;0.025,AJ9&gt;0.06)),(AND(AG9="Meets",OR(AJ9&lt;0.01,AJ9&gt;0.025))),(AND(AG9="Below",OR(AJ9&gt;0,AJ9&lt;0))),(AND(AH9&lt;&gt;"",AI9&lt;&gt;"")))=TRUE,1,0)</f>
        <v>0</v>
      </c>
      <c r="AZ9" s="146">
        <f t="shared" ref="AZ9:AZ72" si="22">IF(ISERROR(AY9),1,AY9)</f>
        <v>0</v>
      </c>
      <c r="BA9" s="22" t="s">
        <v>159</v>
      </c>
      <c r="BB9" s="149"/>
      <c r="BC9" s="149"/>
      <c r="BD9" s="145"/>
      <c r="BE9" s="146" t="str">
        <f t="shared" ref="BE9:BE72" si="23">IF(BD9&gt;0,BD9*T9,"")</f>
        <v/>
      </c>
      <c r="BF9" s="8" t="str">
        <f t="shared" ref="BF9:BF72" si="24">IF(BD9&gt;0%,U9*BD9,"")</f>
        <v/>
      </c>
      <c r="BG9" s="8" t="str">
        <f>IF(LEN(BC9)&gt;0,VLOOKUP(BC9,'Job Codes'!B2:I120,7,FALSE),"")</f>
        <v/>
      </c>
      <c r="BH9" s="192" t="str">
        <f>IF(LEN(BC9)&gt;0,VLOOKUP(BC9,'Job Codes'!B2:I120,8,FALSE),"")</f>
        <v/>
      </c>
      <c r="BI9" s="192" t="str">
        <f>IF(LEN(BC9)&gt;0,VLOOKUP(BC9,'Job Codes'!$B$2:$J$120,9,FALSE),"")</f>
        <v/>
      </c>
      <c r="BJ9" s="146" t="str">
        <f>IF(LEN(BC9)&gt;0,VLOOKUP(BC9,'Job Codes'!$B$2:$I$120,4,FALSE),"")</f>
        <v/>
      </c>
      <c r="BK9" s="146" t="str">
        <f>IF(LEN(BC9)&gt;0,VLOOKUP(BC9,'Job Codes'!$B$2:$I$120,5,FALSE),"")</f>
        <v/>
      </c>
      <c r="BL9" s="146" t="str">
        <f>IF(LEN(BC9)&gt;0,VLOOKUP(BC9,'Job Codes'!$B$2:$I$120,6,FALSE),"")</f>
        <v/>
      </c>
      <c r="BM9" s="168">
        <f t="shared" ref="BM9:BM72" si="25">IF(BD9&gt;0,(T9+AR9+AC9+BE9),(T9+AR9+AC9))</f>
        <v>70000</v>
      </c>
      <c r="BN9" s="160">
        <f t="shared" ref="BN9:BN72" si="26">IF(BD9&gt;0,(U9+AB9+AS9+BF9),(U9+AB9+AS9))</f>
        <v>47110</v>
      </c>
      <c r="BO9" s="22" t="s">
        <v>157</v>
      </c>
      <c r="BP9" s="157">
        <f>VLOOKUP(I9,'Job Codes'!$B$2:$I$120,8,FALSE)</f>
        <v>0.05</v>
      </c>
      <c r="BQ9" s="25" t="str">
        <f>IF(O9&gt;Data!$H$33,"Yes","No")</f>
        <v>Yes</v>
      </c>
      <c r="BR9" s="191">
        <v>2.5000000000000001E-2</v>
      </c>
      <c r="BS9" s="150">
        <f t="shared" ref="BS9:BS72" si="27">BR9*T9</f>
        <v>1750</v>
      </c>
      <c r="BT9" s="25">
        <f t="shared" ref="BT9:BT72" si="28">BR9*U9</f>
        <v>1177.75</v>
      </c>
      <c r="BU9" s="161">
        <v>1</v>
      </c>
      <c r="BV9" s="168">
        <f t="shared" ref="BV9:BV72" si="29">IF(BO9="Yes",BU9*BS9,0)</f>
        <v>1750</v>
      </c>
      <c r="BW9" s="160">
        <f t="shared" ref="BW9:BW72" si="30">IF(BO9="Yes",BU9*BT9,0)</f>
        <v>1177.75</v>
      </c>
      <c r="BX9" s="149"/>
      <c r="BY9" s="32">
        <f t="shared" ref="BY9:BY72" si="31">IF(AND(BU9&gt;1,(ISBLANK(BX9))),1,0)</f>
        <v>0</v>
      </c>
      <c r="BZ9" s="22" t="s">
        <v>159</v>
      </c>
      <c r="CA9" s="231">
        <f>VLOOKUP(I9,'Job Codes'!$B$2:$J$120,9,FALSE)</f>
        <v>0</v>
      </c>
      <c r="CB9" s="253">
        <f t="shared" ref="CB9:CB72" si="32">IF(CA9=0,0,CA9*U9)</f>
        <v>0</v>
      </c>
      <c r="CC9" s="72"/>
      <c r="CD9" s="25" t="str">
        <f t="shared" ref="CD9:CD72" si="33">AG9</f>
        <v>Exceeds</v>
      </c>
      <c r="CE9" s="27" t="s">
        <v>160</v>
      </c>
      <c r="CF9" s="27"/>
      <c r="CG9" s="27"/>
      <c r="CH9" s="27"/>
      <c r="CI9" s="27"/>
      <c r="CJ9" s="3"/>
      <c r="CK9" s="3"/>
      <c r="CL9" s="3">
        <v>4569</v>
      </c>
      <c r="CM9" s="3" t="s">
        <v>161</v>
      </c>
      <c r="CN9" s="3">
        <v>4571</v>
      </c>
      <c r="CO9" s="3" t="s">
        <v>162</v>
      </c>
      <c r="CP9" s="3">
        <v>12345</v>
      </c>
      <c r="CQ9" s="3" t="s">
        <v>163</v>
      </c>
      <c r="CR9" s="246" t="s">
        <v>164</v>
      </c>
      <c r="CS9" s="247" t="s">
        <v>165</v>
      </c>
      <c r="CT9" s="246" t="s">
        <v>166</v>
      </c>
      <c r="CU9" s="247" t="s">
        <v>167</v>
      </c>
      <c r="CV9" s="3" t="str">
        <f t="shared" ref="CV9:CV72" si="34">CR9&amp;";"&amp;CT9</f>
        <v>67890;99485</v>
      </c>
      <c r="CW9" s="3" t="s">
        <v>168</v>
      </c>
      <c r="CX9" s="3" t="str">
        <f t="shared" ref="CX9:CX72" si="35">IF(X9="No","AB"&amp;ROW(),"")&amp;";"&amp;IF(AD9="No","AH"&amp;ROW()&amp;";"&amp;"AI"&amp;ROW(),"")&amp;";"&amp;IF(BA9="No","BB"&amp;ROW()&amp;":"&amp;"BD"&amp;ROW(),"")&amp;";"&amp;IF(BO9="No","BU"&amp;ROW()&amp;";"&amp;"BX"&amp;ROW(),""&amp;";"&amp;IF(BZ9="No","CC"&amp;ROW(),""))</f>
        <v>AB9;;BB9:BD9;;CC9</v>
      </c>
      <c r="CY9" s="5" t="str">
        <f t="shared" ref="CY9:CY72" si="36">IF(CE9="Submitted","Lock","Unlock")</f>
        <v>Lock</v>
      </c>
      <c r="CZ9" s="5" t="str">
        <f t="shared" ref="CZ9:CZ72" si="37">IF(OR(CE9="",DD9&gt;2,CF9="Approved",CK9=""),"Lock","Unlock")</f>
        <v>Lock</v>
      </c>
      <c r="DA9" s="5" t="str">
        <f t="shared" ref="DA9:DA72" si="38">IF(OR(CE9="",DD9&gt;3,CG9="Approved",CM9="",AND(DD9=2,CK9&lt;&gt;"",CF9="")),"Lock","Unlock")</f>
        <v>Unlock</v>
      </c>
      <c r="DB9" s="5" t="str">
        <f t="shared" ref="DB9:DB72" si="39">IF(OR(CE9="",DD9="Final",CH9="Approved",CO9="",AND(DD9=2,CK9&lt;&gt;"",CF9=""),AND(DD9=3,CM9&lt;&gt;"",CG9="")),"Lock","Unlock")</f>
        <v>Lock</v>
      </c>
      <c r="DC9" s="5" t="str">
        <f t="shared" ref="DC9:DC72" si="40">IF(OR(CE9="",CI9="Approved",AND(DD9&lt;&gt;"Final",CK9&lt;&gt;"",CF9=""),AND(DD9&lt;&gt;"Final",CM9&lt;&gt;"",CG9=""),AND(DD9&lt;&gt;"Final",CO9&lt;&gt;"",CH9="")),"Lock","Unlock")</f>
        <v>Lock</v>
      </c>
      <c r="DD9" s="78">
        <f t="shared" ref="DD9:DD72" si="41">IF(CK9&lt;&gt;"",2,IF(CM9&lt;&gt;"",3,IF(CO9&lt;&gt;"",4,IF(CQ9&lt;&gt;"","Final"))))</f>
        <v>3</v>
      </c>
      <c r="DE9" s="2"/>
      <c r="DF9" s="2"/>
      <c r="DG9" s="2"/>
      <c r="DH9" s="2"/>
      <c r="DI9" s="2"/>
      <c r="DJ9" s="2"/>
      <c r="DK9" s="5"/>
      <c r="DL9" s="2"/>
      <c r="DM9" s="2"/>
      <c r="DN9" s="2"/>
      <c r="DO9" s="2"/>
      <c r="DP9" s="2"/>
      <c r="DQ9" s="2"/>
      <c r="DR9" s="2"/>
      <c r="DS9" s="2"/>
      <c r="DT9" s="2"/>
      <c r="DU9" s="2"/>
      <c r="DV9" s="2"/>
      <c r="DW9" s="2"/>
      <c r="DX9" s="2"/>
      <c r="DY9" s="2"/>
      <c r="DZ9" s="2"/>
      <c r="EA9" s="2"/>
      <c r="EB9" s="2"/>
      <c r="EC9" s="2"/>
      <c r="ED9" s="2"/>
      <c r="EE9" s="2"/>
      <c r="EF9" s="1"/>
      <c r="EG9" s="98"/>
      <c r="EH9" s="98"/>
      <c r="EI9" s="1"/>
      <c r="EJ9" s="1"/>
      <c r="EK9" s="98"/>
      <c r="EL9" s="1"/>
    </row>
    <row r="10" spans="1:142">
      <c r="A10" s="32">
        <f t="shared" si="0"/>
        <v>593</v>
      </c>
      <c r="B10" s="3" t="str">
        <f t="shared" si="1"/>
        <v>sv_statement//Statement//Export Statement&amp;PDFID=Jack Watts_593&amp;SO=Y</v>
      </c>
      <c r="C10" s="5" t="str">
        <f t="shared" ref="C10:C73" si="42">IF(OR(AD10="Yes",BA10="Yes",BO10="Yes"),CW10,"")</f>
        <v>Statement</v>
      </c>
      <c r="D10" s="5" t="str">
        <f t="shared" si="2"/>
        <v>Jack Watts_593</v>
      </c>
      <c r="E10" s="5"/>
      <c r="F10" s="5">
        <v>593</v>
      </c>
      <c r="G10" s="22" t="s">
        <v>169</v>
      </c>
      <c r="H10" s="5" t="s">
        <v>150</v>
      </c>
      <c r="I10" s="5" t="s">
        <v>170</v>
      </c>
      <c r="J10" s="5" t="s">
        <v>152</v>
      </c>
      <c r="K10" s="5" t="s">
        <v>153</v>
      </c>
      <c r="L10" s="31">
        <f t="shared" si="3"/>
        <v>11308</v>
      </c>
      <c r="M10" s="5" t="s">
        <v>154</v>
      </c>
      <c r="N10" s="22" t="s">
        <v>155</v>
      </c>
      <c r="O10" s="100">
        <v>35821</v>
      </c>
      <c r="P10" s="146">
        <f>VLOOKUP(I10,'Job Codes'!$B$2:$I$120,4,FALSE)</f>
        <v>20000</v>
      </c>
      <c r="Q10" s="146">
        <f>VLOOKUP(I10,'Job Codes'!$B$2:$I$120,5,FALSE)</f>
        <v>26000</v>
      </c>
      <c r="R10" s="146">
        <f>VLOOKUP(I10,'Job Codes'!$B$2:$I$120,6,FALSE)</f>
        <v>31200</v>
      </c>
      <c r="S10" s="22" t="s">
        <v>171</v>
      </c>
      <c r="T10" s="146">
        <v>31000</v>
      </c>
      <c r="U10" s="8">
        <f>VLOOKUP(S10,Data!$H$22:$I$25,2,FALSE)*T10</f>
        <v>31000</v>
      </c>
      <c r="V10" s="180">
        <f t="shared" si="4"/>
        <v>1.1923076923076923</v>
      </c>
      <c r="W10" s="180">
        <f t="shared" si="5"/>
        <v>0</v>
      </c>
      <c r="X10" s="22" t="str">
        <f t="shared" si="6"/>
        <v>No</v>
      </c>
      <c r="Y10" s="180">
        <f t="shared" si="7"/>
        <v>0</v>
      </c>
      <c r="Z10" s="146">
        <f t="shared" si="8"/>
        <v>0</v>
      </c>
      <c r="AA10" s="146">
        <f t="shared" si="9"/>
        <v>0</v>
      </c>
      <c r="AB10" s="72"/>
      <c r="AC10" s="146">
        <f>AB10/VLOOKUP(S10,Data!$H$22:$I$25,2,FALSE)</f>
        <v>0</v>
      </c>
      <c r="AD10" s="22" t="s">
        <v>157</v>
      </c>
      <c r="AE10" s="146">
        <f>VLOOKUP(S10,Data!$H$22:$J$25,3,FALSE)*T10</f>
        <v>930</v>
      </c>
      <c r="AF10" s="8">
        <f>VLOOKUP(S10,Data!$H$22:$I$25,2,FALSE)*AE10</f>
        <v>930</v>
      </c>
      <c r="AG10" s="8" t="s">
        <v>172</v>
      </c>
      <c r="AH10" s="23">
        <v>0</v>
      </c>
      <c r="AI10" s="72"/>
      <c r="AJ10" s="159">
        <f t="shared" si="10"/>
        <v>0</v>
      </c>
      <c r="AK10" s="168">
        <f t="shared" ref="AK10:AK73" si="43">AJ10*(T10+AC10)</f>
        <v>0</v>
      </c>
      <c r="AL10" s="160">
        <f t="shared" ref="AL10:AL73" si="44">IF(AH10="",AI10,(U10+AB10)*AH10)</f>
        <v>0</v>
      </c>
      <c r="AM10" s="168">
        <f t="shared" si="11"/>
        <v>31000</v>
      </c>
      <c r="AN10" s="160">
        <f t="shared" si="12"/>
        <v>31000</v>
      </c>
      <c r="AO10" s="160" t="str">
        <f t="shared" ref="AO10:AO73" si="45">IF(AN10&gt;R10,"Yes by USD "&amp;TEXT((AN10-R10),"#,##0"),"No")</f>
        <v>No</v>
      </c>
      <c r="AP10" s="146">
        <f>IF(AQ10=0,0,AQ10/VLOOKUP(S10,Data!$H$22:$I$25,2,FALSE))</f>
        <v>0</v>
      </c>
      <c r="AQ10" s="183">
        <f t="shared" si="13"/>
        <v>0</v>
      </c>
      <c r="AR10" s="165">
        <f t="shared" si="14"/>
        <v>0</v>
      </c>
      <c r="AS10" s="183">
        <f t="shared" si="15"/>
        <v>0</v>
      </c>
      <c r="AT10" s="250">
        <f t="shared" si="16"/>
        <v>0</v>
      </c>
      <c r="AU10" s="146">
        <f t="shared" si="17"/>
        <v>31000</v>
      </c>
      <c r="AV10" s="8">
        <f t="shared" si="18"/>
        <v>31000</v>
      </c>
      <c r="AW10" s="8" t="str">
        <f t="shared" si="19"/>
        <v/>
      </c>
      <c r="AX10" s="180">
        <f t="shared" si="20"/>
        <v>1.1923076923076923</v>
      </c>
      <c r="AY10" s="146">
        <f t="shared" si="21"/>
        <v>0</v>
      </c>
      <c r="AZ10" s="146">
        <f t="shared" si="22"/>
        <v>0</v>
      </c>
      <c r="BA10" s="22" t="s">
        <v>157</v>
      </c>
      <c r="BB10" s="149" t="s">
        <v>173</v>
      </c>
      <c r="BC10" s="149" t="s">
        <v>174</v>
      </c>
      <c r="BD10" s="144"/>
      <c r="BE10" s="146" t="str">
        <f t="shared" si="23"/>
        <v/>
      </c>
      <c r="BF10" s="8" t="str">
        <f t="shared" si="24"/>
        <v/>
      </c>
      <c r="BG10" s="8" t="str">
        <f>IF(LEN(BC10)&gt;0,VLOOKUP(BC10,'Job Codes'!B3:I121,7,FALSE),"")</f>
        <v>Yes</v>
      </c>
      <c r="BH10" s="192">
        <f>IF(LEN(BC10)&gt;0,VLOOKUP(BC10,'Job Codes'!B3:I121,8,FALSE),"")</f>
        <v>0.15</v>
      </c>
      <c r="BI10" s="192">
        <f>IF(LEN(BC10)&gt;0,VLOOKUP(BC10,'Job Codes'!$B$2:$J$120,9,FALSE),"")</f>
        <v>0.15</v>
      </c>
      <c r="BJ10" s="146">
        <f>IF(LEN(BC10)&gt;0,VLOOKUP(BC10,'Job Codes'!$B$2:$I$120,4,FALSE),"")</f>
        <v>37000</v>
      </c>
      <c r="BK10" s="146">
        <f>IF(LEN(BC10)&gt;0,VLOOKUP(BC10,'Job Codes'!$B$2:$I$120,5,FALSE),"")</f>
        <v>48100</v>
      </c>
      <c r="BL10" s="146">
        <f>IF(LEN(BC10)&gt;0,VLOOKUP(BC10,'Job Codes'!$B$2:$I$120,6,FALSE),"")</f>
        <v>57720</v>
      </c>
      <c r="BM10" s="168">
        <f t="shared" si="25"/>
        <v>31000</v>
      </c>
      <c r="BN10" s="160">
        <f t="shared" si="26"/>
        <v>31000</v>
      </c>
      <c r="BO10" s="22" t="s">
        <v>159</v>
      </c>
      <c r="BP10" s="157">
        <f>VLOOKUP(I10,'Job Codes'!$B$2:$I$120,8,FALSE)</f>
        <v>0</v>
      </c>
      <c r="BQ10" s="25" t="str">
        <f>IF(O10&gt;Data!$H$33,"Yes","No")</f>
        <v>No</v>
      </c>
      <c r="BR10" s="191">
        <v>0</v>
      </c>
      <c r="BS10" s="150">
        <f t="shared" si="27"/>
        <v>0</v>
      </c>
      <c r="BT10" s="25">
        <f t="shared" si="28"/>
        <v>0</v>
      </c>
      <c r="BU10" s="161">
        <v>1</v>
      </c>
      <c r="BV10" s="168">
        <f t="shared" si="29"/>
        <v>0</v>
      </c>
      <c r="BW10" s="160">
        <f t="shared" si="30"/>
        <v>0</v>
      </c>
      <c r="BX10" s="149"/>
      <c r="BY10" s="32">
        <f t="shared" si="31"/>
        <v>0</v>
      </c>
      <c r="BZ10" s="22" t="s">
        <v>159</v>
      </c>
      <c r="CA10" s="231">
        <f>VLOOKUP(I10,'Job Codes'!$B$2:$J$120,9,FALSE)</f>
        <v>0</v>
      </c>
      <c r="CB10" s="253">
        <f t="shared" si="32"/>
        <v>0</v>
      </c>
      <c r="CC10" s="72"/>
      <c r="CD10" s="25" t="str">
        <f t="shared" si="33"/>
        <v>Below</v>
      </c>
      <c r="CE10" s="27"/>
      <c r="CF10" s="27"/>
      <c r="CG10" s="27"/>
      <c r="CH10" s="27"/>
      <c r="CI10" s="27"/>
      <c r="CJ10" s="3"/>
      <c r="CK10" s="3"/>
      <c r="CL10" s="3">
        <v>4569</v>
      </c>
      <c r="CM10" s="3" t="s">
        <v>161</v>
      </c>
      <c r="CN10" s="3">
        <v>4571</v>
      </c>
      <c r="CO10" s="3" t="s">
        <v>162</v>
      </c>
      <c r="CP10" s="3">
        <v>12345</v>
      </c>
      <c r="CQ10" s="3" t="s">
        <v>163</v>
      </c>
      <c r="CR10" s="246" t="s">
        <v>164</v>
      </c>
      <c r="CS10" s="247" t="s">
        <v>165</v>
      </c>
      <c r="CT10" s="246" t="s">
        <v>166</v>
      </c>
      <c r="CU10" s="247" t="s">
        <v>167</v>
      </c>
      <c r="CV10" s="3" t="str">
        <f t="shared" si="34"/>
        <v>67890;99485</v>
      </c>
      <c r="CW10" s="3" t="s">
        <v>168</v>
      </c>
      <c r="CX10" s="3" t="str">
        <f t="shared" si="35"/>
        <v>AB10;;;BU10;BX10</v>
      </c>
      <c r="CY10" s="5" t="str">
        <f t="shared" si="36"/>
        <v>Unlock</v>
      </c>
      <c r="CZ10" s="5" t="str">
        <f t="shared" si="37"/>
        <v>Lock</v>
      </c>
      <c r="DA10" s="5" t="str">
        <f t="shared" si="38"/>
        <v>Lock</v>
      </c>
      <c r="DB10" s="5" t="str">
        <f t="shared" si="39"/>
        <v>Lock</v>
      </c>
      <c r="DC10" s="5" t="str">
        <f t="shared" si="40"/>
        <v>Lock</v>
      </c>
      <c r="DD10" s="78">
        <f t="shared" si="41"/>
        <v>3</v>
      </c>
      <c r="DE10" s="2"/>
      <c r="DF10" s="2"/>
      <c r="DG10" s="2"/>
      <c r="DH10" s="2"/>
      <c r="DI10" s="2"/>
      <c r="DJ10" s="2"/>
      <c r="DK10" s="5"/>
      <c r="DL10" s="2"/>
      <c r="DM10" s="2"/>
      <c r="DN10" s="2"/>
      <c r="DO10" s="2"/>
      <c r="DP10" s="2"/>
      <c r="DQ10" s="2"/>
      <c r="DR10" s="2"/>
      <c r="DS10" s="2"/>
      <c r="DT10" s="2"/>
      <c r="DU10" s="2"/>
      <c r="DV10" s="2"/>
      <c r="DW10" s="2"/>
      <c r="DX10" s="2"/>
      <c r="DY10" s="2"/>
      <c r="DZ10" s="2"/>
      <c r="EA10" s="2"/>
      <c r="EB10" s="2"/>
      <c r="EC10" s="2"/>
      <c r="ED10" s="2"/>
      <c r="EE10" s="2"/>
      <c r="EF10" s="1"/>
      <c r="EG10" s="98"/>
      <c r="EH10" s="98"/>
      <c r="EI10" s="1"/>
      <c r="EJ10" s="1"/>
      <c r="EK10" s="98"/>
      <c r="EL10" s="1"/>
    </row>
    <row r="11" spans="1:142">
      <c r="A11" s="32">
        <f t="shared" si="0"/>
        <v>664</v>
      </c>
      <c r="B11" s="3" t="str">
        <f t="shared" si="1"/>
        <v>sv_statement//Statement//Export Statement&amp;PDFID=Juan Hamann_664&amp;SO=Y</v>
      </c>
      <c r="C11" s="5" t="str">
        <f t="shared" si="42"/>
        <v>Statement</v>
      </c>
      <c r="D11" s="5" t="str">
        <f t="shared" si="2"/>
        <v>Juan Hamann_664</v>
      </c>
      <c r="E11" s="5"/>
      <c r="F11" s="5">
        <v>664</v>
      </c>
      <c r="G11" s="22" t="s">
        <v>175</v>
      </c>
      <c r="H11" s="5" t="s">
        <v>150</v>
      </c>
      <c r="I11" s="5" t="s">
        <v>176</v>
      </c>
      <c r="J11" s="5" t="s">
        <v>152</v>
      </c>
      <c r="K11" s="5" t="s">
        <v>153</v>
      </c>
      <c r="L11" s="31">
        <f t="shared" si="3"/>
        <v>11351</v>
      </c>
      <c r="M11" s="5" t="s">
        <v>177</v>
      </c>
      <c r="N11" s="22" t="s">
        <v>155</v>
      </c>
      <c r="O11" s="100">
        <v>45465</v>
      </c>
      <c r="P11" s="146">
        <f>VLOOKUP(I11,'Job Codes'!$B$2:$I$120,4,FALSE)</f>
        <v>26500</v>
      </c>
      <c r="Q11" s="146">
        <f>VLOOKUP(I11,'Job Codes'!$B$2:$I$120,5,FALSE)</f>
        <v>34450</v>
      </c>
      <c r="R11" s="146">
        <f>VLOOKUP(I11,'Job Codes'!$B$2:$I$120,6,FALSE)</f>
        <v>41340</v>
      </c>
      <c r="S11" s="22" t="s">
        <v>171</v>
      </c>
      <c r="T11" s="146">
        <v>40000</v>
      </c>
      <c r="U11" s="8">
        <f>VLOOKUP(S11,Data!$H$22:$I$25,2,FALSE)*T11</f>
        <v>40000</v>
      </c>
      <c r="V11" s="180">
        <f t="shared" si="4"/>
        <v>1.1611030478955007</v>
      </c>
      <c r="W11" s="180">
        <f t="shared" si="5"/>
        <v>0</v>
      </c>
      <c r="X11" s="22" t="str">
        <f t="shared" si="6"/>
        <v>No</v>
      </c>
      <c r="Y11" s="180">
        <f t="shared" si="7"/>
        <v>0</v>
      </c>
      <c r="Z11" s="146">
        <f t="shared" si="8"/>
        <v>0</v>
      </c>
      <c r="AA11" s="146">
        <f t="shared" si="9"/>
        <v>0</v>
      </c>
      <c r="AB11" s="72"/>
      <c r="AC11" s="146">
        <f>AB11/VLOOKUP(S11,Data!$H$22:$I$25,2,FALSE)</f>
        <v>0</v>
      </c>
      <c r="AD11" s="22" t="s">
        <v>159</v>
      </c>
      <c r="AE11" s="146">
        <f>VLOOKUP(S11,Data!$H$22:$J$25,3,FALSE)*T11</f>
        <v>1200</v>
      </c>
      <c r="AF11" s="8">
        <f>VLOOKUP(S11,Data!$H$22:$I$25,2,FALSE)*AE11</f>
        <v>1200</v>
      </c>
      <c r="AG11" s="8" t="s">
        <v>178</v>
      </c>
      <c r="AH11" s="23"/>
      <c r="AI11" s="72"/>
      <c r="AJ11" s="159">
        <f t="shared" si="10"/>
        <v>0</v>
      </c>
      <c r="AK11" s="168">
        <f t="shared" si="43"/>
        <v>0</v>
      </c>
      <c r="AL11" s="160">
        <f t="shared" si="44"/>
        <v>0</v>
      </c>
      <c r="AM11" s="168">
        <f t="shared" si="11"/>
        <v>40000</v>
      </c>
      <c r="AN11" s="160">
        <f t="shared" si="12"/>
        <v>40000</v>
      </c>
      <c r="AO11" s="160" t="str">
        <f t="shared" si="45"/>
        <v>No</v>
      </c>
      <c r="AP11" s="146">
        <f>IF(AQ11=0,0,AQ11/VLOOKUP(S11,Data!$H$22:$I$25,2,FALSE))</f>
        <v>0</v>
      </c>
      <c r="AQ11" s="183">
        <f t="shared" si="13"/>
        <v>0</v>
      </c>
      <c r="AR11" s="165">
        <f t="shared" si="14"/>
        <v>0</v>
      </c>
      <c r="AS11" s="183">
        <f t="shared" si="15"/>
        <v>0</v>
      </c>
      <c r="AT11" s="250">
        <f t="shared" si="16"/>
        <v>0</v>
      </c>
      <c r="AU11" s="146">
        <f t="shared" si="17"/>
        <v>40000</v>
      </c>
      <c r="AV11" s="8">
        <f t="shared" si="18"/>
        <v>40000</v>
      </c>
      <c r="AW11" s="8" t="str">
        <f t="shared" si="19"/>
        <v>Not Eligible for Merit</v>
      </c>
      <c r="AX11" s="180">
        <f t="shared" si="20"/>
        <v>1.1611030478955007</v>
      </c>
      <c r="AY11" s="146">
        <f t="shared" si="21"/>
        <v>1</v>
      </c>
      <c r="AZ11" s="146">
        <f t="shared" si="22"/>
        <v>1</v>
      </c>
      <c r="BA11" s="22" t="s">
        <v>159</v>
      </c>
      <c r="BB11" s="149"/>
      <c r="BC11" s="149"/>
      <c r="BD11" s="144"/>
      <c r="BE11" s="146" t="str">
        <f t="shared" si="23"/>
        <v/>
      </c>
      <c r="BF11" s="8" t="str">
        <f t="shared" si="24"/>
        <v/>
      </c>
      <c r="BG11" s="8" t="str">
        <f>IF(LEN(BC11)&gt;0,VLOOKUP(BC11,'Job Codes'!B4:I122,7,FALSE),"")</f>
        <v/>
      </c>
      <c r="BH11" s="192" t="str">
        <f>IF(LEN(BC11)&gt;0,VLOOKUP(BC11,'Job Codes'!B4:I122,8,FALSE),"")</f>
        <v/>
      </c>
      <c r="BI11" s="192" t="str">
        <f>IF(LEN(BC11)&gt;0,VLOOKUP(BC11,'Job Codes'!$B$2:$J$120,9,FALSE),"")</f>
        <v/>
      </c>
      <c r="BJ11" s="146" t="str">
        <f>IF(LEN(BC11)&gt;0,VLOOKUP(BC11,'Job Codes'!$B$2:$I$120,4,FALSE),"")</f>
        <v/>
      </c>
      <c r="BK11" s="146" t="str">
        <f>IF(LEN(BC11)&gt;0,VLOOKUP(BC11,'Job Codes'!$B$2:$I$120,5,FALSE),"")</f>
        <v/>
      </c>
      <c r="BL11" s="146" t="str">
        <f>IF(LEN(BC11)&gt;0,VLOOKUP(BC11,'Job Codes'!$B$2:$I$120,6,FALSE),"")</f>
        <v/>
      </c>
      <c r="BM11" s="168">
        <f t="shared" si="25"/>
        <v>40000</v>
      </c>
      <c r="BN11" s="160">
        <f t="shared" si="26"/>
        <v>40000</v>
      </c>
      <c r="BO11" s="22" t="s">
        <v>157</v>
      </c>
      <c r="BP11" s="157">
        <f>VLOOKUP(I11,'Job Codes'!$B$2:$I$120,8,FALSE)</f>
        <v>0.05</v>
      </c>
      <c r="BQ11" s="25" t="str">
        <f>IF(O11&gt;Data!$H$33,"Yes","No")</f>
        <v>Yes</v>
      </c>
      <c r="BR11" s="191">
        <v>2.5000000000000001E-2</v>
      </c>
      <c r="BS11" s="150">
        <f t="shared" si="27"/>
        <v>1000</v>
      </c>
      <c r="BT11" s="25">
        <f t="shared" si="28"/>
        <v>1000</v>
      </c>
      <c r="BU11" s="161">
        <v>1</v>
      </c>
      <c r="BV11" s="168">
        <f t="shared" si="29"/>
        <v>1000</v>
      </c>
      <c r="BW11" s="160">
        <f t="shared" si="30"/>
        <v>1000</v>
      </c>
      <c r="BX11" s="149"/>
      <c r="BY11" s="32">
        <f t="shared" si="31"/>
        <v>0</v>
      </c>
      <c r="BZ11" s="22" t="s">
        <v>159</v>
      </c>
      <c r="CA11" s="231">
        <f>VLOOKUP(I11,'Job Codes'!$B$2:$J$120,9,FALSE)</f>
        <v>0</v>
      </c>
      <c r="CB11" s="253">
        <f t="shared" si="32"/>
        <v>0</v>
      </c>
      <c r="CC11" s="72"/>
      <c r="CD11" s="25" t="str">
        <f t="shared" si="33"/>
        <v>Meets</v>
      </c>
      <c r="CE11" s="27"/>
      <c r="CF11" s="27"/>
      <c r="CG11" s="27"/>
      <c r="CH11" s="27"/>
      <c r="CI11" s="27"/>
      <c r="CJ11" s="3">
        <v>11308</v>
      </c>
      <c r="CK11" s="3" t="s">
        <v>154</v>
      </c>
      <c r="CL11" s="3">
        <v>4569</v>
      </c>
      <c r="CM11" s="3" t="s">
        <v>161</v>
      </c>
      <c r="CN11" s="3">
        <v>4571</v>
      </c>
      <c r="CO11" s="3" t="s">
        <v>162</v>
      </c>
      <c r="CP11" s="3">
        <v>12345</v>
      </c>
      <c r="CQ11" s="3" t="s">
        <v>163</v>
      </c>
      <c r="CR11" s="246" t="s">
        <v>179</v>
      </c>
      <c r="CS11" s="247" t="s">
        <v>180</v>
      </c>
      <c r="CT11" s="246" t="s">
        <v>166</v>
      </c>
      <c r="CU11" s="247" t="s">
        <v>167</v>
      </c>
      <c r="CV11" s="3" t="str">
        <f t="shared" si="34"/>
        <v>90876;99485</v>
      </c>
      <c r="CW11" s="3" t="s">
        <v>168</v>
      </c>
      <c r="CX11" s="3" t="str">
        <f t="shared" si="35"/>
        <v>AB11;AH11;AI11;BB11:BD11;;CC11</v>
      </c>
      <c r="CY11" s="5" t="str">
        <f t="shared" si="36"/>
        <v>Unlock</v>
      </c>
      <c r="CZ11" s="5" t="str">
        <f t="shared" si="37"/>
        <v>Lock</v>
      </c>
      <c r="DA11" s="5" t="str">
        <f t="shared" si="38"/>
        <v>Lock</v>
      </c>
      <c r="DB11" s="5" t="str">
        <f t="shared" si="39"/>
        <v>Lock</v>
      </c>
      <c r="DC11" s="5" t="str">
        <f t="shared" si="40"/>
        <v>Lock</v>
      </c>
      <c r="DD11" s="78">
        <f t="shared" si="41"/>
        <v>2</v>
      </c>
      <c r="DE11" s="2"/>
      <c r="DF11" s="2"/>
      <c r="DG11" s="2"/>
      <c r="DH11" s="2"/>
      <c r="DI11" s="2"/>
      <c r="DJ11" s="2"/>
      <c r="DK11" s="5"/>
      <c r="DL11" s="2"/>
      <c r="DM11" s="2"/>
      <c r="DN11" s="2"/>
      <c r="DO11" s="2"/>
      <c r="DP11" s="2"/>
      <c r="DQ11" s="2"/>
      <c r="DR11" s="2"/>
      <c r="DS11" s="2"/>
      <c r="DT11" s="2"/>
      <c r="DU11" s="2"/>
      <c r="DV11" s="2"/>
      <c r="DW11" s="2"/>
      <c r="DX11" s="2"/>
      <c r="DY11" s="2"/>
      <c r="DZ11" s="2"/>
      <c r="EA11" s="2"/>
      <c r="EB11" s="2"/>
      <c r="EC11" s="2"/>
      <c r="ED11" s="2"/>
      <c r="EE11" s="2"/>
      <c r="EF11" s="1"/>
      <c r="EG11" s="98"/>
      <c r="EH11" s="98"/>
      <c r="EI11" s="1"/>
      <c r="EJ11" s="1"/>
      <c r="EK11" s="98"/>
      <c r="EL11" s="1"/>
    </row>
    <row r="12" spans="1:142">
      <c r="A12" s="32">
        <f t="shared" si="0"/>
        <v>665</v>
      </c>
      <c r="B12" s="3" t="str">
        <f t="shared" si="1"/>
        <v>sv_statement//Statement//Export Statement&amp;PDFID=Craig Decarlo_665&amp;SO=Y</v>
      </c>
      <c r="C12" s="5" t="str">
        <f t="shared" si="42"/>
        <v>Statement</v>
      </c>
      <c r="D12" s="5" t="str">
        <f t="shared" si="2"/>
        <v>Craig Decarlo_665</v>
      </c>
      <c r="E12" s="5"/>
      <c r="F12" s="5">
        <v>665</v>
      </c>
      <c r="G12" s="22" t="s">
        <v>181</v>
      </c>
      <c r="H12" s="5" t="s">
        <v>150</v>
      </c>
      <c r="I12" s="5" t="s">
        <v>182</v>
      </c>
      <c r="J12" s="5" t="s">
        <v>152</v>
      </c>
      <c r="K12" s="5" t="s">
        <v>153</v>
      </c>
      <c r="L12" s="31">
        <f t="shared" si="3"/>
        <v>11351</v>
      </c>
      <c r="M12" s="5" t="s">
        <v>177</v>
      </c>
      <c r="N12" s="22" t="s">
        <v>155</v>
      </c>
      <c r="O12" s="100">
        <v>35912</v>
      </c>
      <c r="P12" s="146">
        <f>VLOOKUP(I12,'Job Codes'!$B$2:$I$120,4,FALSE)</f>
        <v>23000</v>
      </c>
      <c r="Q12" s="146">
        <f>VLOOKUP(I12,'Job Codes'!$B$2:$I$120,5,FALSE)</f>
        <v>29900</v>
      </c>
      <c r="R12" s="146">
        <f>VLOOKUP(I12,'Job Codes'!$B$2:$I$120,6,FALSE)</f>
        <v>35880</v>
      </c>
      <c r="S12" s="22" t="s">
        <v>171</v>
      </c>
      <c r="T12" s="146">
        <v>35000</v>
      </c>
      <c r="U12" s="8">
        <f>VLOOKUP(S12,Data!$H$22:$I$25,2,FALSE)*T12</f>
        <v>35000</v>
      </c>
      <c r="V12" s="180">
        <f t="shared" si="4"/>
        <v>1.1705685618729098</v>
      </c>
      <c r="W12" s="180">
        <f t="shared" si="5"/>
        <v>0</v>
      </c>
      <c r="X12" s="22" t="str">
        <f t="shared" si="6"/>
        <v>No</v>
      </c>
      <c r="Y12" s="180">
        <f t="shared" si="7"/>
        <v>0</v>
      </c>
      <c r="Z12" s="146">
        <f t="shared" si="8"/>
        <v>0</v>
      </c>
      <c r="AA12" s="146">
        <f t="shared" si="9"/>
        <v>0</v>
      </c>
      <c r="AB12" s="72"/>
      <c r="AC12" s="146">
        <f>AB12/VLOOKUP(S12,Data!$H$22:$I$25,2,FALSE)</f>
        <v>0</v>
      </c>
      <c r="AD12" s="22" t="s">
        <v>157</v>
      </c>
      <c r="AE12" s="146">
        <f>VLOOKUP(S12,Data!$H$22:$J$25,3,FALSE)*T12</f>
        <v>1050</v>
      </c>
      <c r="AF12" s="8">
        <f>VLOOKUP(S12,Data!$H$22:$I$25,2,FALSE)*AE12</f>
        <v>1050</v>
      </c>
      <c r="AG12" s="8" t="s">
        <v>158</v>
      </c>
      <c r="AH12" s="23">
        <v>3.5000000000000003E-2</v>
      </c>
      <c r="AI12" s="72"/>
      <c r="AJ12" s="159">
        <f t="shared" si="10"/>
        <v>3.5000000000000003E-2</v>
      </c>
      <c r="AK12" s="168">
        <f t="shared" si="43"/>
        <v>1225.0000000000002</v>
      </c>
      <c r="AL12" s="160">
        <f t="shared" si="44"/>
        <v>1225.0000000000002</v>
      </c>
      <c r="AM12" s="168">
        <f t="shared" si="11"/>
        <v>36225</v>
      </c>
      <c r="AN12" s="160">
        <f t="shared" si="12"/>
        <v>36225</v>
      </c>
      <c r="AO12" s="160" t="str">
        <f t="shared" si="45"/>
        <v>Yes by USD 345</v>
      </c>
      <c r="AP12" s="146">
        <f>IF(AQ12=0,0,AQ12/VLOOKUP(S12,Data!$H$22:$I$25,2,FALSE))</f>
        <v>345</v>
      </c>
      <c r="AQ12" s="183">
        <f t="shared" si="13"/>
        <v>345</v>
      </c>
      <c r="AR12" s="165">
        <f t="shared" si="14"/>
        <v>880.00000000000023</v>
      </c>
      <c r="AS12" s="183">
        <f t="shared" si="15"/>
        <v>880.00000000000023</v>
      </c>
      <c r="AT12" s="250">
        <f t="shared" si="16"/>
        <v>2.5142857142857151E-2</v>
      </c>
      <c r="AU12" s="146">
        <f t="shared" si="17"/>
        <v>35880</v>
      </c>
      <c r="AV12" s="8">
        <f t="shared" si="18"/>
        <v>35880</v>
      </c>
      <c r="AW12" s="8" t="str">
        <f t="shared" si="19"/>
        <v>Employee to receive part of proposed increase as a lump sum</v>
      </c>
      <c r="AX12" s="180">
        <f t="shared" si="20"/>
        <v>1.2</v>
      </c>
      <c r="AY12" s="146">
        <f t="shared" si="21"/>
        <v>0</v>
      </c>
      <c r="AZ12" s="146">
        <f t="shared" si="22"/>
        <v>0</v>
      </c>
      <c r="BA12" s="22" t="s">
        <v>159</v>
      </c>
      <c r="BB12" s="149"/>
      <c r="BC12" s="149"/>
      <c r="BD12" s="144"/>
      <c r="BE12" s="146" t="str">
        <f t="shared" si="23"/>
        <v/>
      </c>
      <c r="BF12" s="8" t="str">
        <f t="shared" si="24"/>
        <v/>
      </c>
      <c r="BG12" s="8" t="str">
        <f>IF(LEN(BC12)&gt;0,VLOOKUP(BC12,'Job Codes'!B5:I123,7,FALSE),"")</f>
        <v/>
      </c>
      <c r="BH12" s="192" t="str">
        <f>IF(LEN(BC12)&gt;0,VLOOKUP(BC12,'Job Codes'!B5:I123,8,FALSE),"")</f>
        <v/>
      </c>
      <c r="BI12" s="192" t="str">
        <f>IF(LEN(BC12)&gt;0,VLOOKUP(BC12,'Job Codes'!$B$2:$J$120,9,FALSE),"")</f>
        <v/>
      </c>
      <c r="BJ12" s="146" t="str">
        <f>IF(LEN(BC12)&gt;0,VLOOKUP(BC12,'Job Codes'!$B$2:$I$120,4,FALSE),"")</f>
        <v/>
      </c>
      <c r="BK12" s="146" t="str">
        <f>IF(LEN(BC12)&gt;0,VLOOKUP(BC12,'Job Codes'!$B$2:$I$120,5,FALSE),"")</f>
        <v/>
      </c>
      <c r="BL12" s="146" t="str">
        <f>IF(LEN(BC12)&gt;0,VLOOKUP(BC12,'Job Codes'!$B$2:$I$120,6,FALSE),"")</f>
        <v/>
      </c>
      <c r="BM12" s="168">
        <f t="shared" si="25"/>
        <v>35880</v>
      </c>
      <c r="BN12" s="160">
        <f t="shared" si="26"/>
        <v>35880</v>
      </c>
      <c r="BO12" s="22" t="s">
        <v>159</v>
      </c>
      <c r="BP12" s="157">
        <f>VLOOKUP(I12,'Job Codes'!$B$2:$I$120,8,FALSE)</f>
        <v>0</v>
      </c>
      <c r="BQ12" s="25" t="str">
        <f>IF(O12&gt;Data!$H$33,"Yes","No")</f>
        <v>No</v>
      </c>
      <c r="BR12" s="191">
        <v>0</v>
      </c>
      <c r="BS12" s="150">
        <f t="shared" si="27"/>
        <v>0</v>
      </c>
      <c r="BT12" s="25">
        <f t="shared" si="28"/>
        <v>0</v>
      </c>
      <c r="BU12" s="161">
        <v>1</v>
      </c>
      <c r="BV12" s="168">
        <f t="shared" si="29"/>
        <v>0</v>
      </c>
      <c r="BW12" s="160">
        <f t="shared" si="30"/>
        <v>0</v>
      </c>
      <c r="BX12" s="149"/>
      <c r="BY12" s="32">
        <f t="shared" si="31"/>
        <v>0</v>
      </c>
      <c r="BZ12" s="22" t="s">
        <v>159</v>
      </c>
      <c r="CA12" s="231">
        <f>VLOOKUP(I12,'Job Codes'!$B$2:$J$120,9,FALSE)</f>
        <v>0</v>
      </c>
      <c r="CB12" s="253">
        <f t="shared" si="32"/>
        <v>0</v>
      </c>
      <c r="CC12" s="72"/>
      <c r="CD12" s="25" t="str">
        <f t="shared" si="33"/>
        <v>Exceeds</v>
      </c>
      <c r="CE12" s="27"/>
      <c r="CF12" s="27"/>
      <c r="CG12" s="27"/>
      <c r="CH12" s="27"/>
      <c r="CI12" s="27"/>
      <c r="CJ12" s="3">
        <v>11308</v>
      </c>
      <c r="CK12" s="3" t="s">
        <v>154</v>
      </c>
      <c r="CL12" s="3">
        <v>4569</v>
      </c>
      <c r="CM12" s="3" t="s">
        <v>161</v>
      </c>
      <c r="CN12" s="3">
        <v>4571</v>
      </c>
      <c r="CO12" s="3" t="s">
        <v>162</v>
      </c>
      <c r="CP12" s="3">
        <v>12345</v>
      </c>
      <c r="CQ12" s="3" t="s">
        <v>163</v>
      </c>
      <c r="CR12" s="246" t="s">
        <v>179</v>
      </c>
      <c r="CS12" s="247" t="s">
        <v>180</v>
      </c>
      <c r="CT12" s="246" t="s">
        <v>166</v>
      </c>
      <c r="CU12" s="247" t="s">
        <v>167</v>
      </c>
      <c r="CV12" s="3" t="str">
        <f t="shared" si="34"/>
        <v>90876;99485</v>
      </c>
      <c r="CW12" s="3" t="s">
        <v>168</v>
      </c>
      <c r="CX12" s="3" t="str">
        <f t="shared" si="35"/>
        <v>AB12;;BB12:BD12;BU12;BX12</v>
      </c>
      <c r="CY12" s="5" t="str">
        <f t="shared" si="36"/>
        <v>Unlock</v>
      </c>
      <c r="CZ12" s="5" t="str">
        <f t="shared" si="37"/>
        <v>Lock</v>
      </c>
      <c r="DA12" s="5" t="str">
        <f t="shared" si="38"/>
        <v>Lock</v>
      </c>
      <c r="DB12" s="5" t="str">
        <f t="shared" si="39"/>
        <v>Lock</v>
      </c>
      <c r="DC12" s="5" t="str">
        <f t="shared" si="40"/>
        <v>Lock</v>
      </c>
      <c r="DD12" s="78">
        <f t="shared" si="41"/>
        <v>2</v>
      </c>
      <c r="DE12" s="2"/>
      <c r="DF12" s="2"/>
      <c r="DG12" s="2"/>
      <c r="DH12" s="2"/>
      <c r="DI12" s="2"/>
      <c r="DJ12" s="2"/>
      <c r="DK12" s="5"/>
      <c r="DL12" s="2"/>
      <c r="DM12" s="2"/>
      <c r="DN12" s="2"/>
      <c r="DO12" s="2"/>
      <c r="DP12" s="2"/>
      <c r="DQ12" s="2"/>
      <c r="DR12" s="2"/>
      <c r="DS12" s="2"/>
      <c r="DT12" s="2"/>
      <c r="DU12" s="2"/>
      <c r="DV12" s="2"/>
      <c r="DW12" s="2"/>
      <c r="DX12" s="2"/>
      <c r="DY12" s="2"/>
      <c r="DZ12" s="2"/>
      <c r="EA12" s="2"/>
      <c r="EB12" s="2"/>
      <c r="EC12" s="2"/>
      <c r="ED12" s="2"/>
      <c r="EE12" s="2"/>
      <c r="EF12" s="1"/>
      <c r="EG12" s="98"/>
      <c r="EH12" s="98"/>
      <c r="EI12" s="1"/>
      <c r="EJ12" s="1"/>
      <c r="EK12" s="98"/>
      <c r="EL12" s="1"/>
    </row>
    <row r="13" spans="1:142">
      <c r="A13" s="32">
        <f t="shared" si="0"/>
        <v>788</v>
      </c>
      <c r="B13" s="3" t="str">
        <f t="shared" si="1"/>
        <v>sv_statement//Statement//Export Statement&amp;PDFID=Martin Chrisman_788&amp;SO=Y</v>
      </c>
      <c r="C13" s="5" t="str">
        <f t="shared" si="42"/>
        <v>Statement</v>
      </c>
      <c r="D13" s="5" t="str">
        <f t="shared" si="2"/>
        <v>Martin Chrisman_788</v>
      </c>
      <c r="E13" s="5"/>
      <c r="F13" s="5">
        <v>788</v>
      </c>
      <c r="G13" s="22" t="s">
        <v>183</v>
      </c>
      <c r="H13" s="5" t="s">
        <v>150</v>
      </c>
      <c r="I13" s="5" t="s">
        <v>184</v>
      </c>
      <c r="J13" s="5" t="s">
        <v>152</v>
      </c>
      <c r="K13" s="5" t="s">
        <v>153</v>
      </c>
      <c r="L13" s="31">
        <f t="shared" si="3"/>
        <v>11351</v>
      </c>
      <c r="M13" s="5" t="s">
        <v>177</v>
      </c>
      <c r="N13" s="22" t="s">
        <v>155</v>
      </c>
      <c r="O13" s="100">
        <v>36040</v>
      </c>
      <c r="P13" s="146">
        <f>VLOOKUP(I13,'Job Codes'!$B$2:$I$120,4,FALSE)</f>
        <v>26500</v>
      </c>
      <c r="Q13" s="146">
        <f>VLOOKUP(I13,'Job Codes'!$B$2:$I$120,5,FALSE)</f>
        <v>34450</v>
      </c>
      <c r="R13" s="146">
        <f>VLOOKUP(I13,'Job Codes'!$B$2:$I$120,6,FALSE)</f>
        <v>41340</v>
      </c>
      <c r="S13" s="22" t="s">
        <v>171</v>
      </c>
      <c r="T13" s="146">
        <v>32677</v>
      </c>
      <c r="U13" s="8">
        <f>VLOOKUP(S13,Data!$H$22:$I$25,2,FALSE)*T13</f>
        <v>32677</v>
      </c>
      <c r="V13" s="180">
        <f t="shared" si="4"/>
        <v>0.94853410740203192</v>
      </c>
      <c r="W13" s="180">
        <f t="shared" si="5"/>
        <v>5.4258346849465983E-2</v>
      </c>
      <c r="X13" s="22" t="str">
        <f t="shared" si="6"/>
        <v>Yes</v>
      </c>
      <c r="Y13" s="180">
        <f t="shared" si="7"/>
        <v>0.02</v>
      </c>
      <c r="Z13" s="146">
        <f t="shared" si="8"/>
        <v>653.54</v>
      </c>
      <c r="AA13" s="146">
        <f t="shared" si="9"/>
        <v>653.54</v>
      </c>
      <c r="AB13" s="72"/>
      <c r="AC13" s="146">
        <f>AB13/VLOOKUP(S13,Data!$H$22:$I$25,2,FALSE)</f>
        <v>0</v>
      </c>
      <c r="AD13" s="22" t="s">
        <v>157</v>
      </c>
      <c r="AE13" s="146">
        <f>VLOOKUP(S13,Data!$H$22:$J$25,3,FALSE)*T13</f>
        <v>980.31</v>
      </c>
      <c r="AF13" s="8">
        <f>VLOOKUP(S13,Data!$H$22:$I$25,2,FALSE)*AE13</f>
        <v>980.31</v>
      </c>
      <c r="AG13" s="8" t="s">
        <v>158</v>
      </c>
      <c r="AH13" s="23">
        <v>0.06</v>
      </c>
      <c r="AI13" s="72"/>
      <c r="AJ13" s="159">
        <f t="shared" si="10"/>
        <v>0.06</v>
      </c>
      <c r="AK13" s="168">
        <f t="shared" si="43"/>
        <v>1960.62</v>
      </c>
      <c r="AL13" s="160">
        <f t="shared" si="44"/>
        <v>1960.62</v>
      </c>
      <c r="AM13" s="168">
        <f t="shared" si="11"/>
        <v>34637.620000000003</v>
      </c>
      <c r="AN13" s="160">
        <f t="shared" si="12"/>
        <v>34637.620000000003</v>
      </c>
      <c r="AO13" s="160" t="str">
        <f t="shared" si="45"/>
        <v>No</v>
      </c>
      <c r="AP13" s="146">
        <f>IF(AQ13=0,0,AQ13/VLOOKUP(S13,Data!$H$22:$I$25,2,FALSE))</f>
        <v>0</v>
      </c>
      <c r="AQ13" s="183">
        <f t="shared" si="13"/>
        <v>0</v>
      </c>
      <c r="AR13" s="165">
        <f t="shared" si="14"/>
        <v>1960.62</v>
      </c>
      <c r="AS13" s="183">
        <f t="shared" si="15"/>
        <v>1960.62</v>
      </c>
      <c r="AT13" s="250">
        <f t="shared" si="16"/>
        <v>0.06</v>
      </c>
      <c r="AU13" s="146">
        <f t="shared" si="17"/>
        <v>34637.620000000003</v>
      </c>
      <c r="AV13" s="8">
        <f t="shared" si="18"/>
        <v>34637.620000000003</v>
      </c>
      <c r="AW13" s="8" t="str">
        <f t="shared" si="19"/>
        <v/>
      </c>
      <c r="AX13" s="180">
        <f t="shared" si="20"/>
        <v>1.0054461538461539</v>
      </c>
      <c r="AY13" s="146">
        <f t="shared" si="21"/>
        <v>0</v>
      </c>
      <c r="AZ13" s="146">
        <f t="shared" si="22"/>
        <v>0</v>
      </c>
      <c r="BA13" s="22" t="s">
        <v>159</v>
      </c>
      <c r="BB13" s="149"/>
      <c r="BC13" s="149"/>
      <c r="BD13" s="144"/>
      <c r="BE13" s="146" t="str">
        <f t="shared" si="23"/>
        <v/>
      </c>
      <c r="BF13" s="8" t="str">
        <f t="shared" si="24"/>
        <v/>
      </c>
      <c r="BG13" s="8" t="str">
        <f>IF(LEN(BC13)&gt;0,VLOOKUP(BC13,'Job Codes'!B6:I124,7,FALSE),"")</f>
        <v/>
      </c>
      <c r="BH13" s="192" t="str">
        <f>IF(LEN(BC13)&gt;0,VLOOKUP(BC13,'Job Codes'!B6:I124,8,FALSE),"")</f>
        <v/>
      </c>
      <c r="BI13" s="192" t="str">
        <f>IF(LEN(BC13)&gt;0,VLOOKUP(BC13,'Job Codes'!$B$2:$J$120,9,FALSE),"")</f>
        <v/>
      </c>
      <c r="BJ13" s="146" t="str">
        <f>IF(LEN(BC13)&gt;0,VLOOKUP(BC13,'Job Codes'!$B$2:$I$120,4,FALSE),"")</f>
        <v/>
      </c>
      <c r="BK13" s="146" t="str">
        <f>IF(LEN(BC13)&gt;0,VLOOKUP(BC13,'Job Codes'!$B$2:$I$120,5,FALSE),"")</f>
        <v/>
      </c>
      <c r="BL13" s="146" t="str">
        <f>IF(LEN(BC13)&gt;0,VLOOKUP(BC13,'Job Codes'!$B$2:$I$120,6,FALSE),"")</f>
        <v/>
      </c>
      <c r="BM13" s="168">
        <f t="shared" si="25"/>
        <v>34637.620000000003</v>
      </c>
      <c r="BN13" s="160">
        <f t="shared" si="26"/>
        <v>34637.620000000003</v>
      </c>
      <c r="BO13" s="22" t="s">
        <v>157</v>
      </c>
      <c r="BP13" s="157">
        <f>VLOOKUP(I13,'Job Codes'!$B$2:$I$120,8,FALSE)</f>
        <v>0.05</v>
      </c>
      <c r="BQ13" s="25" t="str">
        <f>IF(O13&gt;Data!$H$33,"Yes","No")</f>
        <v>No</v>
      </c>
      <c r="BR13" s="191">
        <v>0.05</v>
      </c>
      <c r="BS13" s="150">
        <f t="shared" si="27"/>
        <v>1633.8500000000001</v>
      </c>
      <c r="BT13" s="25">
        <f t="shared" si="28"/>
        <v>1633.8500000000001</v>
      </c>
      <c r="BU13" s="161">
        <v>1</v>
      </c>
      <c r="BV13" s="168">
        <f t="shared" si="29"/>
        <v>1633.8500000000001</v>
      </c>
      <c r="BW13" s="160">
        <f t="shared" si="30"/>
        <v>1633.8500000000001</v>
      </c>
      <c r="BX13" s="149"/>
      <c r="BY13" s="32">
        <f t="shared" si="31"/>
        <v>0</v>
      </c>
      <c r="BZ13" s="22" t="s">
        <v>159</v>
      </c>
      <c r="CA13" s="231">
        <f>VLOOKUP(I13,'Job Codes'!$B$2:$J$120,9,FALSE)</f>
        <v>0</v>
      </c>
      <c r="CB13" s="253">
        <f t="shared" si="32"/>
        <v>0</v>
      </c>
      <c r="CC13" s="72"/>
      <c r="CD13" s="25" t="str">
        <f t="shared" si="33"/>
        <v>Exceeds</v>
      </c>
      <c r="CE13" s="27"/>
      <c r="CF13" s="27"/>
      <c r="CG13" s="27"/>
      <c r="CH13" s="27"/>
      <c r="CI13" s="27"/>
      <c r="CJ13" s="3">
        <v>11308</v>
      </c>
      <c r="CK13" s="3" t="s">
        <v>154</v>
      </c>
      <c r="CL13" s="3">
        <v>4569</v>
      </c>
      <c r="CM13" s="3" t="s">
        <v>161</v>
      </c>
      <c r="CN13" s="3">
        <v>4571</v>
      </c>
      <c r="CO13" s="3" t="s">
        <v>162</v>
      </c>
      <c r="CP13" s="3">
        <v>12345</v>
      </c>
      <c r="CQ13" s="3" t="s">
        <v>163</v>
      </c>
      <c r="CR13" s="246" t="s">
        <v>179</v>
      </c>
      <c r="CS13" s="247" t="s">
        <v>180</v>
      </c>
      <c r="CT13" s="246" t="s">
        <v>166</v>
      </c>
      <c r="CU13" s="247" t="s">
        <v>167</v>
      </c>
      <c r="CV13" s="3" t="str">
        <f t="shared" si="34"/>
        <v>90876;99485</v>
      </c>
      <c r="CW13" s="3" t="s">
        <v>168</v>
      </c>
      <c r="CX13" s="3" t="str">
        <f t="shared" si="35"/>
        <v>;;BB13:BD13;;CC13</v>
      </c>
      <c r="CY13" s="5" t="str">
        <f t="shared" si="36"/>
        <v>Unlock</v>
      </c>
      <c r="CZ13" s="5" t="str">
        <f t="shared" si="37"/>
        <v>Lock</v>
      </c>
      <c r="DA13" s="5" t="str">
        <f t="shared" si="38"/>
        <v>Lock</v>
      </c>
      <c r="DB13" s="5" t="str">
        <f t="shared" si="39"/>
        <v>Lock</v>
      </c>
      <c r="DC13" s="5" t="str">
        <f t="shared" si="40"/>
        <v>Lock</v>
      </c>
      <c r="DD13" s="78">
        <f t="shared" si="41"/>
        <v>2</v>
      </c>
      <c r="DE13" s="2"/>
      <c r="DF13" s="2"/>
      <c r="DG13" s="2"/>
      <c r="DH13" s="2"/>
      <c r="DI13" s="2"/>
      <c r="DJ13" s="2"/>
      <c r="DK13" s="5"/>
      <c r="DL13" s="2"/>
      <c r="DM13" s="2"/>
      <c r="DN13" s="2"/>
      <c r="DO13" s="2"/>
      <c r="DP13" s="2"/>
      <c r="DQ13" s="2"/>
      <c r="DR13" s="2"/>
      <c r="DS13" s="2"/>
      <c r="DT13" s="2"/>
      <c r="DU13" s="2"/>
      <c r="DV13" s="2"/>
      <c r="DW13" s="2"/>
      <c r="DX13" s="2"/>
      <c r="DY13" s="2"/>
      <c r="DZ13" s="2"/>
      <c r="EA13" s="2"/>
      <c r="EB13" s="2"/>
      <c r="EC13" s="2"/>
      <c r="ED13" s="2"/>
      <c r="EE13" s="2"/>
      <c r="EF13" s="1"/>
      <c r="EG13" s="98"/>
      <c r="EH13" s="98"/>
      <c r="EI13" s="1"/>
      <c r="EJ13" s="1"/>
      <c r="EK13" s="98"/>
      <c r="EL13" s="1"/>
    </row>
    <row r="14" spans="1:142">
      <c r="A14" s="32">
        <f t="shared" si="0"/>
        <v>969</v>
      </c>
      <c r="B14" s="3" t="str">
        <f t="shared" si="1"/>
        <v>sv_statement//Statement//Export Statement&amp;PDFID=Ellen Albanese_969&amp;SO=Y</v>
      </c>
      <c r="C14" s="5" t="str">
        <f t="shared" si="42"/>
        <v>Statement</v>
      </c>
      <c r="D14" s="5" t="str">
        <f t="shared" si="2"/>
        <v>Ellen Albanese_969</v>
      </c>
      <c r="E14" s="5"/>
      <c r="F14" s="5">
        <v>969</v>
      </c>
      <c r="G14" s="22" t="s">
        <v>185</v>
      </c>
      <c r="H14" s="5" t="s">
        <v>150</v>
      </c>
      <c r="I14" s="5" t="s">
        <v>186</v>
      </c>
      <c r="J14" s="5" t="s">
        <v>152</v>
      </c>
      <c r="K14" s="5" t="s">
        <v>153</v>
      </c>
      <c r="L14" s="31">
        <f t="shared" si="3"/>
        <v>11351</v>
      </c>
      <c r="M14" s="5" t="s">
        <v>177</v>
      </c>
      <c r="N14" s="22" t="s">
        <v>155</v>
      </c>
      <c r="O14" s="100">
        <v>36166</v>
      </c>
      <c r="P14" s="146">
        <f>VLOOKUP(I14,'Job Codes'!$B$2:$I$120,4,FALSE)</f>
        <v>26500</v>
      </c>
      <c r="Q14" s="146">
        <f>VLOOKUP(I14,'Job Codes'!$B$2:$I$120,5,FALSE)</f>
        <v>34450</v>
      </c>
      <c r="R14" s="146">
        <f>VLOOKUP(I14,'Job Codes'!$B$2:$I$120,6,FALSE)</f>
        <v>41340</v>
      </c>
      <c r="S14" s="22" t="s">
        <v>171</v>
      </c>
      <c r="T14" s="146">
        <v>37170</v>
      </c>
      <c r="U14" s="8">
        <f>VLOOKUP(S14,Data!$H$22:$I$25,2,FALSE)*T14</f>
        <v>37170</v>
      </c>
      <c r="V14" s="180">
        <f t="shared" si="4"/>
        <v>1.0789550072568941</v>
      </c>
      <c r="W14" s="180">
        <f t="shared" si="5"/>
        <v>0</v>
      </c>
      <c r="X14" s="22" t="str">
        <f t="shared" si="6"/>
        <v>No</v>
      </c>
      <c r="Y14" s="180">
        <f t="shared" si="7"/>
        <v>0</v>
      </c>
      <c r="Z14" s="146">
        <f t="shared" si="8"/>
        <v>0</v>
      </c>
      <c r="AA14" s="146">
        <f t="shared" si="9"/>
        <v>0</v>
      </c>
      <c r="AB14" s="72"/>
      <c r="AC14" s="146">
        <f>AB14/VLOOKUP(S14,Data!$H$22:$I$25,2,FALSE)</f>
        <v>0</v>
      </c>
      <c r="AD14" s="22" t="s">
        <v>157</v>
      </c>
      <c r="AE14" s="146">
        <f>VLOOKUP(S14,Data!$H$22:$J$25,3,FALSE)*T14</f>
        <v>1115.0999999999999</v>
      </c>
      <c r="AF14" s="8">
        <f>VLOOKUP(S14,Data!$H$22:$I$25,2,FALSE)*AE14</f>
        <v>1115.0999999999999</v>
      </c>
      <c r="AG14" s="8" t="s">
        <v>158</v>
      </c>
      <c r="AH14" s="23"/>
      <c r="AI14" s="72"/>
      <c r="AJ14" s="159">
        <f t="shared" si="10"/>
        <v>0</v>
      </c>
      <c r="AK14" s="168">
        <f t="shared" si="43"/>
        <v>0</v>
      </c>
      <c r="AL14" s="160">
        <f t="shared" si="44"/>
        <v>0</v>
      </c>
      <c r="AM14" s="168">
        <f t="shared" si="11"/>
        <v>37170</v>
      </c>
      <c r="AN14" s="160">
        <f t="shared" si="12"/>
        <v>37170</v>
      </c>
      <c r="AO14" s="160" t="str">
        <f t="shared" si="45"/>
        <v>No</v>
      </c>
      <c r="AP14" s="146">
        <f>IF(AQ14=0,0,AQ14/VLOOKUP(S14,Data!$H$22:$I$25,2,FALSE))</f>
        <v>0</v>
      </c>
      <c r="AQ14" s="183">
        <f t="shared" si="13"/>
        <v>0</v>
      </c>
      <c r="AR14" s="165">
        <f t="shared" si="14"/>
        <v>0</v>
      </c>
      <c r="AS14" s="183">
        <f t="shared" si="15"/>
        <v>0</v>
      </c>
      <c r="AT14" s="250">
        <f t="shared" si="16"/>
        <v>0</v>
      </c>
      <c r="AU14" s="146">
        <f t="shared" si="17"/>
        <v>37170</v>
      </c>
      <c r="AV14" s="8">
        <f t="shared" si="18"/>
        <v>37170</v>
      </c>
      <c r="AW14" s="8" t="str">
        <f t="shared" si="19"/>
        <v>Not within guidelines</v>
      </c>
      <c r="AX14" s="180">
        <f t="shared" si="20"/>
        <v>1.0789550072568941</v>
      </c>
      <c r="AY14" s="146">
        <f t="shared" si="21"/>
        <v>1</v>
      </c>
      <c r="AZ14" s="146">
        <f t="shared" si="22"/>
        <v>1</v>
      </c>
      <c r="BA14" s="22" t="s">
        <v>159</v>
      </c>
      <c r="BB14" s="149"/>
      <c r="BC14" s="149"/>
      <c r="BD14" s="144"/>
      <c r="BE14" s="146" t="str">
        <f t="shared" si="23"/>
        <v/>
      </c>
      <c r="BF14" s="8" t="str">
        <f t="shared" si="24"/>
        <v/>
      </c>
      <c r="BG14" s="8" t="str">
        <f>IF(LEN(BC14)&gt;0,VLOOKUP(BC14,'Job Codes'!B7:I125,7,FALSE),"")</f>
        <v/>
      </c>
      <c r="BH14" s="192" t="str">
        <f>IF(LEN(BC14)&gt;0,VLOOKUP(BC14,'Job Codes'!B7:I125,8,FALSE),"")</f>
        <v/>
      </c>
      <c r="BI14" s="192" t="str">
        <f>IF(LEN(BC14)&gt;0,VLOOKUP(BC14,'Job Codes'!$B$2:$J$120,9,FALSE),"")</f>
        <v/>
      </c>
      <c r="BJ14" s="146" t="str">
        <f>IF(LEN(BC14)&gt;0,VLOOKUP(BC14,'Job Codes'!$B$2:$I$120,4,FALSE),"")</f>
        <v/>
      </c>
      <c r="BK14" s="146" t="str">
        <f>IF(LEN(BC14)&gt;0,VLOOKUP(BC14,'Job Codes'!$B$2:$I$120,5,FALSE),"")</f>
        <v/>
      </c>
      <c r="BL14" s="146" t="str">
        <f>IF(LEN(BC14)&gt;0,VLOOKUP(BC14,'Job Codes'!$B$2:$I$120,6,FALSE),"")</f>
        <v/>
      </c>
      <c r="BM14" s="168">
        <f t="shared" si="25"/>
        <v>37170</v>
      </c>
      <c r="BN14" s="160">
        <f t="shared" si="26"/>
        <v>37170</v>
      </c>
      <c r="BO14" s="22" t="s">
        <v>157</v>
      </c>
      <c r="BP14" s="157">
        <f>VLOOKUP(I14,'Job Codes'!$B$2:$I$120,8,FALSE)</f>
        <v>0.05</v>
      </c>
      <c r="BQ14" s="25" t="str">
        <f>IF(O14&gt;Data!$H$33,"Yes","No")</f>
        <v>No</v>
      </c>
      <c r="BR14" s="191">
        <v>0.05</v>
      </c>
      <c r="BS14" s="150">
        <f t="shared" si="27"/>
        <v>1858.5</v>
      </c>
      <c r="BT14" s="25">
        <f t="shared" si="28"/>
        <v>1858.5</v>
      </c>
      <c r="BU14" s="161">
        <v>1</v>
      </c>
      <c r="BV14" s="168">
        <f t="shared" si="29"/>
        <v>1858.5</v>
      </c>
      <c r="BW14" s="160">
        <f t="shared" si="30"/>
        <v>1858.5</v>
      </c>
      <c r="BX14" s="149"/>
      <c r="BY14" s="32">
        <f t="shared" si="31"/>
        <v>0</v>
      </c>
      <c r="BZ14" s="22" t="s">
        <v>159</v>
      </c>
      <c r="CA14" s="231">
        <f>VLOOKUP(I14,'Job Codes'!$B$2:$J$120,9,FALSE)</f>
        <v>0</v>
      </c>
      <c r="CB14" s="253">
        <f t="shared" si="32"/>
        <v>0</v>
      </c>
      <c r="CC14" s="72"/>
      <c r="CD14" s="25" t="str">
        <f t="shared" si="33"/>
        <v>Exceeds</v>
      </c>
      <c r="CE14" s="27"/>
      <c r="CF14" s="27"/>
      <c r="CG14" s="27"/>
      <c r="CH14" s="27"/>
      <c r="CI14" s="27"/>
      <c r="CJ14" s="3">
        <v>11308</v>
      </c>
      <c r="CK14" s="3" t="s">
        <v>154</v>
      </c>
      <c r="CL14" s="3">
        <v>4569</v>
      </c>
      <c r="CM14" s="3" t="s">
        <v>161</v>
      </c>
      <c r="CN14" s="3">
        <v>4571</v>
      </c>
      <c r="CO14" s="3" t="s">
        <v>162</v>
      </c>
      <c r="CP14" s="3">
        <v>12345</v>
      </c>
      <c r="CQ14" s="3" t="s">
        <v>163</v>
      </c>
      <c r="CR14" s="246" t="s">
        <v>179</v>
      </c>
      <c r="CS14" s="247" t="s">
        <v>180</v>
      </c>
      <c r="CT14" s="246" t="s">
        <v>166</v>
      </c>
      <c r="CU14" s="247" t="s">
        <v>167</v>
      </c>
      <c r="CV14" s="3" t="str">
        <f t="shared" si="34"/>
        <v>90876;99485</v>
      </c>
      <c r="CW14" s="3" t="s">
        <v>168</v>
      </c>
      <c r="CX14" s="3" t="str">
        <f t="shared" si="35"/>
        <v>AB14;;BB14:BD14;;CC14</v>
      </c>
      <c r="CY14" s="5" t="str">
        <f t="shared" si="36"/>
        <v>Unlock</v>
      </c>
      <c r="CZ14" s="5" t="str">
        <f t="shared" si="37"/>
        <v>Lock</v>
      </c>
      <c r="DA14" s="5" t="str">
        <f t="shared" si="38"/>
        <v>Lock</v>
      </c>
      <c r="DB14" s="5" t="str">
        <f t="shared" si="39"/>
        <v>Lock</v>
      </c>
      <c r="DC14" s="5" t="str">
        <f t="shared" si="40"/>
        <v>Lock</v>
      </c>
      <c r="DD14" s="78">
        <f t="shared" si="41"/>
        <v>2</v>
      </c>
      <c r="DE14" s="2"/>
      <c r="DF14" s="2"/>
      <c r="DG14" s="2"/>
      <c r="DH14" s="2"/>
      <c r="DI14" s="2"/>
      <c r="DJ14" s="2"/>
      <c r="DK14" s="5"/>
      <c r="DL14" s="2"/>
      <c r="DM14" s="2"/>
      <c r="DN14" s="2"/>
      <c r="DO14" s="2"/>
      <c r="DP14" s="2"/>
      <c r="DQ14" s="2"/>
      <c r="DR14" s="2"/>
      <c r="DS14" s="2"/>
      <c r="DT14" s="2"/>
      <c r="DU14" s="2"/>
      <c r="DV14" s="2"/>
      <c r="DW14" s="2"/>
      <c r="DX14" s="2"/>
      <c r="DY14" s="2"/>
      <c r="DZ14" s="2"/>
      <c r="EA14" s="2"/>
      <c r="EB14" s="2"/>
      <c r="EC14" s="2"/>
      <c r="ED14" s="2"/>
      <c r="EE14" s="2"/>
      <c r="EF14" s="1"/>
      <c r="EG14" s="98"/>
      <c r="EH14" s="98"/>
      <c r="EI14" s="1"/>
      <c r="EJ14" s="1"/>
      <c r="EK14" s="98"/>
      <c r="EL14" s="1"/>
    </row>
    <row r="15" spans="1:142">
      <c r="A15" s="32">
        <f t="shared" si="0"/>
        <v>1041</v>
      </c>
      <c r="B15" s="3" t="str">
        <f t="shared" si="1"/>
        <v>sv_statement//Statement//Export Statement&amp;PDFID=Grace Henke_1041&amp;SO=Y</v>
      </c>
      <c r="C15" s="5" t="str">
        <f t="shared" si="42"/>
        <v>Statement</v>
      </c>
      <c r="D15" s="5" t="str">
        <f t="shared" si="2"/>
        <v>Grace Henke_1041</v>
      </c>
      <c r="E15" s="5"/>
      <c r="F15" s="5">
        <v>1041</v>
      </c>
      <c r="G15" s="22" t="s">
        <v>187</v>
      </c>
      <c r="H15" s="5" t="s">
        <v>173</v>
      </c>
      <c r="I15" s="5" t="s">
        <v>188</v>
      </c>
      <c r="J15" s="5" t="s">
        <v>152</v>
      </c>
      <c r="K15" s="5" t="s">
        <v>153</v>
      </c>
      <c r="L15" s="31">
        <f t="shared" si="3"/>
        <v>11308</v>
      </c>
      <c r="M15" s="5" t="s">
        <v>154</v>
      </c>
      <c r="N15" s="22" t="s">
        <v>155</v>
      </c>
      <c r="O15" s="100">
        <v>36230</v>
      </c>
      <c r="P15" s="146">
        <f>VLOOKUP(I15,'Job Codes'!$B$2:$I$120,4,FALSE)</f>
        <v>26500</v>
      </c>
      <c r="Q15" s="146">
        <f>VLOOKUP(I15,'Job Codes'!$B$2:$I$120,5,FALSE)</f>
        <v>34450</v>
      </c>
      <c r="R15" s="146">
        <f>VLOOKUP(I15,'Job Codes'!$B$2:$I$120,6,FALSE)</f>
        <v>41340</v>
      </c>
      <c r="S15" s="22" t="s">
        <v>171</v>
      </c>
      <c r="T15" s="146">
        <v>35714</v>
      </c>
      <c r="U15" s="8">
        <f>VLOOKUP(S15,Data!$H$22:$I$25,2,FALSE)*T15</f>
        <v>35714</v>
      </c>
      <c r="V15" s="180">
        <f t="shared" si="4"/>
        <v>1.0366908563134978</v>
      </c>
      <c r="W15" s="180">
        <f t="shared" si="5"/>
        <v>0</v>
      </c>
      <c r="X15" s="22" t="str">
        <f t="shared" si="6"/>
        <v>No</v>
      </c>
      <c r="Y15" s="180">
        <f t="shared" si="7"/>
        <v>0</v>
      </c>
      <c r="Z15" s="146">
        <f t="shared" si="8"/>
        <v>0</v>
      </c>
      <c r="AA15" s="146">
        <f t="shared" si="9"/>
        <v>0</v>
      </c>
      <c r="AB15" s="72"/>
      <c r="AC15" s="146">
        <f>AB15/VLOOKUP(S15,Data!$H$22:$I$25,2,FALSE)</f>
        <v>0</v>
      </c>
      <c r="AD15" s="22" t="s">
        <v>157</v>
      </c>
      <c r="AE15" s="146">
        <f>VLOOKUP(S15,Data!$H$22:$J$25,3,FALSE)*T15</f>
        <v>1071.42</v>
      </c>
      <c r="AF15" s="8">
        <f>VLOOKUP(S15,Data!$H$22:$I$25,2,FALSE)*AE15</f>
        <v>1071.42</v>
      </c>
      <c r="AG15" s="8" t="s">
        <v>158</v>
      </c>
      <c r="AH15" s="23">
        <v>2.5000000000000001E-2</v>
      </c>
      <c r="AI15" s="72"/>
      <c r="AJ15" s="159">
        <f t="shared" si="10"/>
        <v>2.5000000000000001E-2</v>
      </c>
      <c r="AK15" s="168">
        <f t="shared" si="43"/>
        <v>892.85</v>
      </c>
      <c r="AL15" s="160">
        <f t="shared" si="44"/>
        <v>892.85</v>
      </c>
      <c r="AM15" s="168">
        <f t="shared" si="11"/>
        <v>36606.85</v>
      </c>
      <c r="AN15" s="160">
        <f t="shared" si="12"/>
        <v>36606.85</v>
      </c>
      <c r="AO15" s="160" t="str">
        <f t="shared" si="45"/>
        <v>No</v>
      </c>
      <c r="AP15" s="146">
        <f>IF(AQ15=0,0,AQ15/VLOOKUP(S15,Data!$H$22:$I$25,2,FALSE))</f>
        <v>0</v>
      </c>
      <c r="AQ15" s="183">
        <f t="shared" si="13"/>
        <v>0</v>
      </c>
      <c r="AR15" s="165">
        <f t="shared" si="14"/>
        <v>892.85</v>
      </c>
      <c r="AS15" s="183">
        <f t="shared" si="15"/>
        <v>892.85</v>
      </c>
      <c r="AT15" s="250">
        <f t="shared" si="16"/>
        <v>2.5000000000000001E-2</v>
      </c>
      <c r="AU15" s="146">
        <f t="shared" si="17"/>
        <v>36606.85</v>
      </c>
      <c r="AV15" s="8">
        <f t="shared" si="18"/>
        <v>36606.85</v>
      </c>
      <c r="AW15" s="8" t="str">
        <f t="shared" si="19"/>
        <v/>
      </c>
      <c r="AX15" s="180">
        <f t="shared" si="20"/>
        <v>1.0626081277213353</v>
      </c>
      <c r="AY15" s="146">
        <f t="shared" si="21"/>
        <v>0</v>
      </c>
      <c r="AZ15" s="146">
        <f t="shared" si="22"/>
        <v>0</v>
      </c>
      <c r="BA15" s="22" t="s">
        <v>159</v>
      </c>
      <c r="BB15" s="149"/>
      <c r="BC15" s="149"/>
      <c r="BD15" s="144"/>
      <c r="BE15" s="146" t="str">
        <f t="shared" si="23"/>
        <v/>
      </c>
      <c r="BF15" s="8" t="str">
        <f t="shared" si="24"/>
        <v/>
      </c>
      <c r="BG15" s="8" t="str">
        <f>IF(LEN(BC15)&gt;0,VLOOKUP(BC15,'Job Codes'!B8:I126,7,FALSE),"")</f>
        <v/>
      </c>
      <c r="BH15" s="192" t="str">
        <f>IF(LEN(BC15)&gt;0,VLOOKUP(BC15,'Job Codes'!B8:I126,8,FALSE),"")</f>
        <v/>
      </c>
      <c r="BI15" s="192" t="str">
        <f>IF(LEN(BC15)&gt;0,VLOOKUP(BC15,'Job Codes'!$B$2:$J$120,9,FALSE),"")</f>
        <v/>
      </c>
      <c r="BJ15" s="146" t="str">
        <f>IF(LEN(BC15)&gt;0,VLOOKUP(BC15,'Job Codes'!$B$2:$I$120,4,FALSE),"")</f>
        <v/>
      </c>
      <c r="BK15" s="146" t="str">
        <f>IF(LEN(BC15)&gt;0,VLOOKUP(BC15,'Job Codes'!$B$2:$I$120,5,FALSE),"")</f>
        <v/>
      </c>
      <c r="BL15" s="146" t="str">
        <f>IF(LEN(BC15)&gt;0,VLOOKUP(BC15,'Job Codes'!$B$2:$I$120,6,FALSE),"")</f>
        <v/>
      </c>
      <c r="BM15" s="168">
        <f t="shared" si="25"/>
        <v>36606.85</v>
      </c>
      <c r="BN15" s="160">
        <f t="shared" si="26"/>
        <v>36606.85</v>
      </c>
      <c r="BO15" s="22" t="s">
        <v>157</v>
      </c>
      <c r="BP15" s="157">
        <f>VLOOKUP(I15,'Job Codes'!$B$2:$I$120,8,FALSE)</f>
        <v>0.05</v>
      </c>
      <c r="BQ15" s="25" t="str">
        <f>IF(O15&gt;Data!$H$33,"Yes","No")</f>
        <v>No</v>
      </c>
      <c r="BR15" s="191">
        <v>0.05</v>
      </c>
      <c r="BS15" s="150">
        <f t="shared" si="27"/>
        <v>1785.7</v>
      </c>
      <c r="BT15" s="25">
        <f t="shared" si="28"/>
        <v>1785.7</v>
      </c>
      <c r="BU15" s="161">
        <v>1</v>
      </c>
      <c r="BV15" s="168">
        <f t="shared" si="29"/>
        <v>1785.7</v>
      </c>
      <c r="BW15" s="160">
        <f t="shared" si="30"/>
        <v>1785.7</v>
      </c>
      <c r="BX15" s="149"/>
      <c r="BY15" s="32">
        <f t="shared" si="31"/>
        <v>0</v>
      </c>
      <c r="BZ15" s="22" t="s">
        <v>159</v>
      </c>
      <c r="CA15" s="231">
        <f>VLOOKUP(I15,'Job Codes'!$B$2:$J$120,9,FALSE)</f>
        <v>0</v>
      </c>
      <c r="CB15" s="253">
        <f t="shared" si="32"/>
        <v>0</v>
      </c>
      <c r="CC15" s="72"/>
      <c r="CD15" s="25" t="str">
        <f t="shared" si="33"/>
        <v>Exceeds</v>
      </c>
      <c r="CE15" s="27"/>
      <c r="CF15" s="27"/>
      <c r="CG15" s="27"/>
      <c r="CH15" s="27"/>
      <c r="CI15" s="27"/>
      <c r="CJ15" s="3"/>
      <c r="CK15" s="3"/>
      <c r="CL15" s="3">
        <v>4569</v>
      </c>
      <c r="CM15" s="3" t="s">
        <v>161</v>
      </c>
      <c r="CN15" s="3">
        <v>4571</v>
      </c>
      <c r="CO15" s="3" t="s">
        <v>162</v>
      </c>
      <c r="CP15" s="3">
        <v>12345</v>
      </c>
      <c r="CQ15" s="3" t="s">
        <v>163</v>
      </c>
      <c r="CR15" s="246" t="s">
        <v>164</v>
      </c>
      <c r="CS15" s="247" t="s">
        <v>165</v>
      </c>
      <c r="CT15" s="246" t="s">
        <v>166</v>
      </c>
      <c r="CU15" s="247" t="s">
        <v>167</v>
      </c>
      <c r="CV15" s="3" t="str">
        <f t="shared" si="34"/>
        <v>67890;99485</v>
      </c>
      <c r="CW15" s="3" t="s">
        <v>168</v>
      </c>
      <c r="CX15" s="3" t="str">
        <f t="shared" si="35"/>
        <v>AB15;;BB15:BD15;;CC15</v>
      </c>
      <c r="CY15" s="5" t="str">
        <f t="shared" si="36"/>
        <v>Unlock</v>
      </c>
      <c r="CZ15" s="5" t="str">
        <f t="shared" si="37"/>
        <v>Lock</v>
      </c>
      <c r="DA15" s="5" t="str">
        <f t="shared" si="38"/>
        <v>Lock</v>
      </c>
      <c r="DB15" s="5" t="str">
        <f t="shared" si="39"/>
        <v>Lock</v>
      </c>
      <c r="DC15" s="5" t="str">
        <f t="shared" si="40"/>
        <v>Lock</v>
      </c>
      <c r="DD15" s="78">
        <f t="shared" si="41"/>
        <v>3</v>
      </c>
      <c r="DE15" s="2"/>
      <c r="DF15" s="2"/>
      <c r="DG15" s="2"/>
      <c r="DH15" s="2"/>
      <c r="DI15" s="2"/>
      <c r="DJ15" s="2"/>
      <c r="DK15" s="5"/>
      <c r="DL15" s="2"/>
      <c r="DM15" s="2"/>
      <c r="DN15" s="2"/>
      <c r="DO15" s="2"/>
      <c r="DP15" s="2"/>
      <c r="DQ15" s="2"/>
      <c r="DR15" s="2"/>
      <c r="DS15" s="2"/>
      <c r="DT15" s="2"/>
      <c r="DU15" s="2"/>
      <c r="DV15" s="2"/>
      <c r="DW15" s="2"/>
      <c r="DX15" s="2"/>
      <c r="DY15" s="2"/>
      <c r="DZ15" s="2"/>
      <c r="EA15" s="2"/>
      <c r="EB15" s="2"/>
      <c r="EC15" s="2"/>
      <c r="ED15" s="2"/>
      <c r="EE15" s="2"/>
      <c r="EF15" s="1"/>
      <c r="EG15" s="98"/>
      <c r="EH15" s="98"/>
      <c r="EI15" s="1"/>
      <c r="EJ15" s="1"/>
      <c r="EK15" s="98"/>
      <c r="EL15" s="1"/>
    </row>
    <row r="16" spans="1:142">
      <c r="A16" s="32">
        <f t="shared" si="0"/>
        <v>1076</v>
      </c>
      <c r="B16" s="3" t="str">
        <f t="shared" si="1"/>
        <v>sv_statement//Statement//Export Statement&amp;PDFID=Ronald Holcomb_1076&amp;SO=Y</v>
      </c>
      <c r="C16" s="5" t="str">
        <f t="shared" si="42"/>
        <v>Statement</v>
      </c>
      <c r="D16" s="5" t="str">
        <f t="shared" si="2"/>
        <v>Ronald Holcomb_1076</v>
      </c>
      <c r="E16" s="5"/>
      <c r="F16" s="5">
        <v>1076</v>
      </c>
      <c r="G16" s="22" t="s">
        <v>189</v>
      </c>
      <c r="H16" s="5" t="s">
        <v>173</v>
      </c>
      <c r="I16" s="5" t="s">
        <v>190</v>
      </c>
      <c r="J16" s="5" t="s">
        <v>152</v>
      </c>
      <c r="K16" s="5" t="s">
        <v>153</v>
      </c>
      <c r="L16" s="31">
        <f t="shared" si="3"/>
        <v>11308</v>
      </c>
      <c r="M16" s="5" t="s">
        <v>154</v>
      </c>
      <c r="N16" s="22" t="s">
        <v>155</v>
      </c>
      <c r="O16" s="100">
        <v>36277</v>
      </c>
      <c r="P16" s="146">
        <f>VLOOKUP(I16,'Job Codes'!$B$2:$I$120,4,FALSE)</f>
        <v>33000</v>
      </c>
      <c r="Q16" s="146">
        <f>VLOOKUP(I16,'Job Codes'!$B$2:$I$120,5,FALSE)</f>
        <v>42900</v>
      </c>
      <c r="R16" s="146">
        <f>VLOOKUP(I16,'Job Codes'!$B$2:$I$120,6,FALSE)</f>
        <v>51480</v>
      </c>
      <c r="S16" s="22" t="s">
        <v>171</v>
      </c>
      <c r="T16" s="146">
        <v>34507</v>
      </c>
      <c r="U16" s="8">
        <f>VLOOKUP(S16,Data!$H$22:$I$25,2,FALSE)*T16</f>
        <v>34507</v>
      </c>
      <c r="V16" s="180">
        <f t="shared" si="4"/>
        <v>0.80435897435897441</v>
      </c>
      <c r="W16" s="180">
        <f t="shared" si="5"/>
        <v>0.24322601211348421</v>
      </c>
      <c r="X16" s="22" t="str">
        <f t="shared" si="6"/>
        <v>Yes</v>
      </c>
      <c r="Y16" s="180">
        <f t="shared" si="7"/>
        <v>0.02</v>
      </c>
      <c r="Z16" s="146">
        <f t="shared" si="8"/>
        <v>690.14</v>
      </c>
      <c r="AA16" s="146">
        <f t="shared" si="9"/>
        <v>690.14</v>
      </c>
      <c r="AB16" s="72"/>
      <c r="AC16" s="146">
        <f>AB16/VLOOKUP(S16,Data!$H$22:$I$25,2,FALSE)</f>
        <v>0</v>
      </c>
      <c r="AD16" s="22" t="s">
        <v>157</v>
      </c>
      <c r="AE16" s="146">
        <f>VLOOKUP(S16,Data!$H$22:$J$25,3,FALSE)*T16</f>
        <v>1035.21</v>
      </c>
      <c r="AF16" s="8">
        <f>VLOOKUP(S16,Data!$H$22:$I$25,2,FALSE)*AE16</f>
        <v>1035.21</v>
      </c>
      <c r="AG16" s="8" t="s">
        <v>178</v>
      </c>
      <c r="AH16" s="23">
        <v>0.01</v>
      </c>
      <c r="AI16" s="72"/>
      <c r="AJ16" s="159">
        <f t="shared" si="10"/>
        <v>0.01</v>
      </c>
      <c r="AK16" s="168">
        <f t="shared" si="43"/>
        <v>345.07</v>
      </c>
      <c r="AL16" s="160">
        <f t="shared" si="44"/>
        <v>345.07</v>
      </c>
      <c r="AM16" s="168">
        <f t="shared" si="11"/>
        <v>34852.07</v>
      </c>
      <c r="AN16" s="160">
        <f t="shared" si="12"/>
        <v>34852.07</v>
      </c>
      <c r="AO16" s="160" t="str">
        <f t="shared" si="45"/>
        <v>No</v>
      </c>
      <c r="AP16" s="146">
        <f>IF(AQ16=0,0,AQ16/VLOOKUP(S16,Data!$H$22:$I$25,2,FALSE))</f>
        <v>0</v>
      </c>
      <c r="AQ16" s="183">
        <f t="shared" si="13"/>
        <v>0</v>
      </c>
      <c r="AR16" s="165">
        <f t="shared" si="14"/>
        <v>345.07</v>
      </c>
      <c r="AS16" s="183">
        <f t="shared" si="15"/>
        <v>345.07</v>
      </c>
      <c r="AT16" s="250">
        <f t="shared" si="16"/>
        <v>0.01</v>
      </c>
      <c r="AU16" s="146">
        <f t="shared" si="17"/>
        <v>34852.07</v>
      </c>
      <c r="AV16" s="8">
        <f t="shared" si="18"/>
        <v>34852.07</v>
      </c>
      <c r="AW16" s="8" t="str">
        <f t="shared" si="19"/>
        <v/>
      </c>
      <c r="AX16" s="180">
        <f t="shared" si="20"/>
        <v>0.81240256410256406</v>
      </c>
      <c r="AY16" s="146">
        <f t="shared" si="21"/>
        <v>0</v>
      </c>
      <c r="AZ16" s="146">
        <f t="shared" si="22"/>
        <v>0</v>
      </c>
      <c r="BA16" s="22" t="s">
        <v>159</v>
      </c>
      <c r="BB16" s="149"/>
      <c r="BC16" s="149"/>
      <c r="BD16" s="144"/>
      <c r="BE16" s="146" t="str">
        <f t="shared" si="23"/>
        <v/>
      </c>
      <c r="BF16" s="8" t="str">
        <f t="shared" si="24"/>
        <v/>
      </c>
      <c r="BG16" s="8" t="str">
        <f>IF(LEN(BC16)&gt;0,VLOOKUP(BC16,'Job Codes'!B9:I127,7,FALSE),"")</f>
        <v/>
      </c>
      <c r="BH16" s="192" t="str">
        <f>IF(LEN(BC16)&gt;0,VLOOKUP(BC16,'Job Codes'!B9:I127,8,FALSE),"")</f>
        <v/>
      </c>
      <c r="BI16" s="192" t="str">
        <f>IF(LEN(BC16)&gt;0,VLOOKUP(BC16,'Job Codes'!$B$2:$J$120,9,FALSE),"")</f>
        <v/>
      </c>
      <c r="BJ16" s="146" t="str">
        <f>IF(LEN(BC16)&gt;0,VLOOKUP(BC16,'Job Codes'!$B$2:$I$120,4,FALSE),"")</f>
        <v/>
      </c>
      <c r="BK16" s="146" t="str">
        <f>IF(LEN(BC16)&gt;0,VLOOKUP(BC16,'Job Codes'!$B$2:$I$120,5,FALSE),"")</f>
        <v/>
      </c>
      <c r="BL16" s="146" t="str">
        <f>IF(LEN(BC16)&gt;0,VLOOKUP(BC16,'Job Codes'!$B$2:$I$120,6,FALSE),"")</f>
        <v/>
      </c>
      <c r="BM16" s="168">
        <f t="shared" si="25"/>
        <v>34852.07</v>
      </c>
      <c r="BN16" s="160">
        <f t="shared" si="26"/>
        <v>34852.07</v>
      </c>
      <c r="BO16" s="22" t="s">
        <v>157</v>
      </c>
      <c r="BP16" s="157">
        <f>VLOOKUP(I16,'Job Codes'!$B$2:$I$120,8,FALSE)</f>
        <v>0.1</v>
      </c>
      <c r="BQ16" s="25" t="str">
        <f>IF(O16&gt;Data!$H$33,"Yes","No")</f>
        <v>No</v>
      </c>
      <c r="BR16" s="191">
        <v>0.1</v>
      </c>
      <c r="BS16" s="150">
        <f t="shared" si="27"/>
        <v>3450.7000000000003</v>
      </c>
      <c r="BT16" s="25">
        <f t="shared" si="28"/>
        <v>3450.7000000000003</v>
      </c>
      <c r="BU16" s="161">
        <v>0.99</v>
      </c>
      <c r="BV16" s="168">
        <f t="shared" si="29"/>
        <v>3416.1930000000002</v>
      </c>
      <c r="BW16" s="160">
        <f t="shared" si="30"/>
        <v>3416.1930000000002</v>
      </c>
      <c r="BX16" s="149"/>
      <c r="BY16" s="32">
        <f t="shared" si="31"/>
        <v>0</v>
      </c>
      <c r="BZ16" s="22" t="s">
        <v>157</v>
      </c>
      <c r="CA16" s="231">
        <f>VLOOKUP(I16,'Job Codes'!$B$2:$J$120,9,FALSE)</f>
        <v>0.1</v>
      </c>
      <c r="CB16" s="253">
        <f t="shared" si="32"/>
        <v>3450.7000000000003</v>
      </c>
      <c r="CC16" s="72"/>
      <c r="CD16" s="25" t="str">
        <f t="shared" si="33"/>
        <v>Meets</v>
      </c>
      <c r="CE16" s="27"/>
      <c r="CF16" s="27"/>
      <c r="CG16" s="27"/>
      <c r="CH16" s="27"/>
      <c r="CI16" s="27"/>
      <c r="CJ16" s="3"/>
      <c r="CK16" s="3"/>
      <c r="CL16" s="3">
        <v>4569</v>
      </c>
      <c r="CM16" s="3" t="s">
        <v>161</v>
      </c>
      <c r="CN16" s="3">
        <v>4571</v>
      </c>
      <c r="CO16" s="3" t="s">
        <v>162</v>
      </c>
      <c r="CP16" s="3">
        <v>12345</v>
      </c>
      <c r="CQ16" s="3" t="s">
        <v>163</v>
      </c>
      <c r="CR16" s="246" t="s">
        <v>164</v>
      </c>
      <c r="CS16" s="247" t="s">
        <v>165</v>
      </c>
      <c r="CT16" s="246" t="s">
        <v>166</v>
      </c>
      <c r="CU16" s="247" t="s">
        <v>167</v>
      </c>
      <c r="CV16" s="3" t="str">
        <f t="shared" si="34"/>
        <v>67890;99485</v>
      </c>
      <c r="CW16" s="3" t="s">
        <v>168</v>
      </c>
      <c r="CX16" s="3" t="str">
        <f t="shared" si="35"/>
        <v>;;BB16:BD16;;</v>
      </c>
      <c r="CY16" s="5" t="str">
        <f t="shared" si="36"/>
        <v>Unlock</v>
      </c>
      <c r="CZ16" s="5" t="str">
        <f t="shared" si="37"/>
        <v>Lock</v>
      </c>
      <c r="DA16" s="5" t="str">
        <f t="shared" si="38"/>
        <v>Lock</v>
      </c>
      <c r="DB16" s="5" t="str">
        <f t="shared" si="39"/>
        <v>Lock</v>
      </c>
      <c r="DC16" s="5" t="str">
        <f t="shared" si="40"/>
        <v>Lock</v>
      </c>
      <c r="DD16" s="78">
        <f t="shared" si="41"/>
        <v>3</v>
      </c>
      <c r="DE16" s="2"/>
      <c r="DF16" s="2"/>
      <c r="DG16" s="2"/>
      <c r="DH16" s="2"/>
      <c r="DI16" s="2"/>
      <c r="DJ16" s="2"/>
      <c r="DK16" s="5"/>
      <c r="DL16" s="2"/>
      <c r="DM16" s="2"/>
      <c r="DN16" s="2"/>
      <c r="DO16" s="2"/>
      <c r="DP16" s="2"/>
      <c r="DQ16" s="2"/>
      <c r="DR16" s="2"/>
      <c r="DS16" s="2"/>
      <c r="DT16" s="2"/>
      <c r="DU16" s="2"/>
      <c r="DV16" s="2"/>
      <c r="DW16" s="2"/>
      <c r="DX16" s="2"/>
      <c r="DY16" s="2"/>
      <c r="DZ16" s="2"/>
      <c r="EA16" s="2"/>
      <c r="EB16" s="2"/>
      <c r="EC16" s="2"/>
      <c r="ED16" s="2"/>
      <c r="EE16" s="2"/>
      <c r="EF16" s="1"/>
      <c r="EG16" s="98"/>
      <c r="EH16" s="98"/>
      <c r="EI16" s="1"/>
      <c r="EJ16" s="1"/>
      <c r="EK16" s="98"/>
      <c r="EL16" s="1"/>
    </row>
    <row r="17" spans="1:142">
      <c r="A17" s="32">
        <f t="shared" si="0"/>
        <v>1179</v>
      </c>
      <c r="B17" s="3" t="str">
        <f t="shared" si="1"/>
        <v>sv_statement//Statement//Export Statement&amp;PDFID=Myrtle Jester_1179&amp;SO=Y</v>
      </c>
      <c r="C17" s="5" t="str">
        <f t="shared" si="42"/>
        <v>Statement</v>
      </c>
      <c r="D17" s="5" t="str">
        <f t="shared" si="2"/>
        <v>Myrtle Jester_1179</v>
      </c>
      <c r="E17" s="5"/>
      <c r="F17" s="5">
        <v>1179</v>
      </c>
      <c r="G17" s="22" t="s">
        <v>191</v>
      </c>
      <c r="H17" s="5" t="s">
        <v>173</v>
      </c>
      <c r="I17" s="5" t="s">
        <v>192</v>
      </c>
      <c r="J17" s="5" t="s">
        <v>152</v>
      </c>
      <c r="K17" s="5" t="s">
        <v>193</v>
      </c>
      <c r="L17" s="31">
        <f t="shared" si="3"/>
        <v>11351</v>
      </c>
      <c r="M17" s="5" t="s">
        <v>177</v>
      </c>
      <c r="N17" s="22" t="s">
        <v>155</v>
      </c>
      <c r="O17" s="100">
        <v>36402</v>
      </c>
      <c r="P17" s="146">
        <f>VLOOKUP(I17,'Job Codes'!$B$2:$I$120,4,FALSE)</f>
        <v>37000</v>
      </c>
      <c r="Q17" s="146">
        <f>VLOOKUP(I17,'Job Codes'!$B$2:$I$120,5,FALSE)</f>
        <v>48100</v>
      </c>
      <c r="R17" s="146">
        <f>VLOOKUP(I17,'Job Codes'!$B$2:$I$120,6,FALSE)</f>
        <v>57720</v>
      </c>
      <c r="S17" s="22" t="s">
        <v>171</v>
      </c>
      <c r="T17" s="146">
        <v>34986</v>
      </c>
      <c r="U17" s="8">
        <f>VLOOKUP(S17,Data!$H$22:$I$25,2,FALSE)*T17</f>
        <v>34986</v>
      </c>
      <c r="V17" s="180">
        <f t="shared" si="4"/>
        <v>0.72735966735966739</v>
      </c>
      <c r="W17" s="180">
        <f t="shared" si="5"/>
        <v>0.37483564854513235</v>
      </c>
      <c r="X17" s="22" t="str">
        <f t="shared" si="6"/>
        <v>Yes</v>
      </c>
      <c r="Y17" s="180">
        <f t="shared" si="7"/>
        <v>0.02</v>
      </c>
      <c r="Z17" s="146">
        <f t="shared" si="8"/>
        <v>699.72</v>
      </c>
      <c r="AA17" s="146">
        <f t="shared" si="9"/>
        <v>699.72</v>
      </c>
      <c r="AB17" s="72"/>
      <c r="AC17" s="146">
        <f>AB17/VLOOKUP(S17,Data!$H$22:$I$25,2,FALSE)</f>
        <v>0</v>
      </c>
      <c r="AD17" s="22" t="s">
        <v>157</v>
      </c>
      <c r="AE17" s="146">
        <f>VLOOKUP(S17,Data!$H$22:$J$25,3,FALSE)*T17</f>
        <v>1049.58</v>
      </c>
      <c r="AF17" s="8">
        <f>VLOOKUP(S17,Data!$H$22:$I$25,2,FALSE)*AE17</f>
        <v>1049.58</v>
      </c>
      <c r="AG17" s="8" t="s">
        <v>158</v>
      </c>
      <c r="AH17" s="23">
        <v>0.02</v>
      </c>
      <c r="AI17" s="72"/>
      <c r="AJ17" s="159">
        <f t="shared" si="10"/>
        <v>0.02</v>
      </c>
      <c r="AK17" s="168">
        <f t="shared" si="43"/>
        <v>699.72</v>
      </c>
      <c r="AL17" s="160">
        <f t="shared" si="44"/>
        <v>699.72</v>
      </c>
      <c r="AM17" s="168">
        <f t="shared" si="11"/>
        <v>35685.72</v>
      </c>
      <c r="AN17" s="160">
        <f t="shared" si="12"/>
        <v>35685.72</v>
      </c>
      <c r="AO17" s="160" t="str">
        <f t="shared" si="45"/>
        <v>No</v>
      </c>
      <c r="AP17" s="146">
        <f>IF(AQ17=0,0,AQ17/VLOOKUP(S17,Data!$H$22:$I$25,2,FALSE))</f>
        <v>0</v>
      </c>
      <c r="AQ17" s="183">
        <f t="shared" si="13"/>
        <v>0</v>
      </c>
      <c r="AR17" s="165">
        <f t="shared" si="14"/>
        <v>699.72</v>
      </c>
      <c r="AS17" s="183">
        <f t="shared" si="15"/>
        <v>699.72</v>
      </c>
      <c r="AT17" s="250">
        <f t="shared" si="16"/>
        <v>0.02</v>
      </c>
      <c r="AU17" s="146">
        <f t="shared" si="17"/>
        <v>35685.72</v>
      </c>
      <c r="AV17" s="8">
        <f t="shared" si="18"/>
        <v>35685.72</v>
      </c>
      <c r="AW17" s="8" t="str">
        <f t="shared" si="19"/>
        <v>Not within guidelines</v>
      </c>
      <c r="AX17" s="180">
        <f t="shared" si="20"/>
        <v>0.74190686070686074</v>
      </c>
      <c r="AY17" s="146">
        <f t="shared" si="21"/>
        <v>1</v>
      </c>
      <c r="AZ17" s="146">
        <f t="shared" si="22"/>
        <v>1</v>
      </c>
      <c r="BA17" s="22" t="s">
        <v>159</v>
      </c>
      <c r="BB17" s="149"/>
      <c r="BC17" s="149"/>
      <c r="BD17" s="144"/>
      <c r="BE17" s="146" t="str">
        <f t="shared" si="23"/>
        <v/>
      </c>
      <c r="BF17" s="8" t="str">
        <f t="shared" si="24"/>
        <v/>
      </c>
      <c r="BG17" s="8" t="str">
        <f>IF(LEN(BC17)&gt;0,VLOOKUP(BC17,'Job Codes'!B10:I128,7,FALSE),"")</f>
        <v/>
      </c>
      <c r="BH17" s="192" t="str">
        <f>IF(LEN(BC17)&gt;0,VLOOKUP(BC17,'Job Codes'!B10:I128,8,FALSE),"")</f>
        <v/>
      </c>
      <c r="BI17" s="192" t="str">
        <f>IF(LEN(BC17)&gt;0,VLOOKUP(BC17,'Job Codes'!$B$2:$J$120,9,FALSE),"")</f>
        <v/>
      </c>
      <c r="BJ17" s="146" t="str">
        <f>IF(LEN(BC17)&gt;0,VLOOKUP(BC17,'Job Codes'!$B$2:$I$120,4,FALSE),"")</f>
        <v/>
      </c>
      <c r="BK17" s="146" t="str">
        <f>IF(LEN(BC17)&gt;0,VLOOKUP(BC17,'Job Codes'!$B$2:$I$120,5,FALSE),"")</f>
        <v/>
      </c>
      <c r="BL17" s="146" t="str">
        <f>IF(LEN(BC17)&gt;0,VLOOKUP(BC17,'Job Codes'!$B$2:$I$120,6,FALSE),"")</f>
        <v/>
      </c>
      <c r="BM17" s="168">
        <f t="shared" si="25"/>
        <v>35685.72</v>
      </c>
      <c r="BN17" s="160">
        <f t="shared" si="26"/>
        <v>35685.72</v>
      </c>
      <c r="BO17" s="22" t="s">
        <v>157</v>
      </c>
      <c r="BP17" s="157">
        <f>VLOOKUP(I17,'Job Codes'!$B$2:$I$120,8,FALSE)</f>
        <v>0.15</v>
      </c>
      <c r="BQ17" s="25" t="str">
        <f>IF(O17&gt;Data!$H$33,"Yes","No")</f>
        <v>No</v>
      </c>
      <c r="BR17" s="191">
        <v>0.15</v>
      </c>
      <c r="BS17" s="150">
        <f t="shared" si="27"/>
        <v>5247.9</v>
      </c>
      <c r="BT17" s="25">
        <f t="shared" si="28"/>
        <v>5247.9</v>
      </c>
      <c r="BU17" s="161">
        <v>1</v>
      </c>
      <c r="BV17" s="168">
        <f t="shared" si="29"/>
        <v>5247.9</v>
      </c>
      <c r="BW17" s="160">
        <f t="shared" si="30"/>
        <v>5247.9</v>
      </c>
      <c r="BX17" s="149"/>
      <c r="BY17" s="32">
        <f t="shared" si="31"/>
        <v>0</v>
      </c>
      <c r="BZ17" s="22" t="s">
        <v>157</v>
      </c>
      <c r="CA17" s="231">
        <f>VLOOKUP(I17,'Job Codes'!$B$2:$J$120,9,FALSE)</f>
        <v>0.15</v>
      </c>
      <c r="CB17" s="253">
        <f t="shared" si="32"/>
        <v>5247.9</v>
      </c>
      <c r="CC17" s="72"/>
      <c r="CD17" s="25" t="str">
        <f t="shared" si="33"/>
        <v>Exceeds</v>
      </c>
      <c r="CE17" s="27"/>
      <c r="CF17" s="27"/>
      <c r="CG17" s="27"/>
      <c r="CH17" s="27"/>
      <c r="CI17" s="27"/>
      <c r="CJ17" s="3">
        <v>11308</v>
      </c>
      <c r="CK17" s="3" t="s">
        <v>154</v>
      </c>
      <c r="CL17" s="3">
        <v>4569</v>
      </c>
      <c r="CM17" s="3" t="s">
        <v>161</v>
      </c>
      <c r="CN17" s="3">
        <v>4571</v>
      </c>
      <c r="CO17" s="3" t="s">
        <v>162</v>
      </c>
      <c r="CP17" s="3">
        <v>12345</v>
      </c>
      <c r="CQ17" s="3" t="s">
        <v>163</v>
      </c>
      <c r="CR17" s="246" t="s">
        <v>179</v>
      </c>
      <c r="CS17" s="247" t="s">
        <v>180</v>
      </c>
      <c r="CT17" s="246" t="s">
        <v>166</v>
      </c>
      <c r="CU17" s="247" t="s">
        <v>167</v>
      </c>
      <c r="CV17" s="3" t="str">
        <f t="shared" si="34"/>
        <v>90876;99485</v>
      </c>
      <c r="CW17" s="3" t="s">
        <v>168</v>
      </c>
      <c r="CX17" s="3" t="str">
        <f t="shared" si="35"/>
        <v>;;BB17:BD17;;</v>
      </c>
      <c r="CY17" s="5" t="str">
        <f t="shared" si="36"/>
        <v>Unlock</v>
      </c>
      <c r="CZ17" s="5" t="str">
        <f t="shared" si="37"/>
        <v>Lock</v>
      </c>
      <c r="DA17" s="5" t="str">
        <f t="shared" si="38"/>
        <v>Lock</v>
      </c>
      <c r="DB17" s="5" t="str">
        <f t="shared" si="39"/>
        <v>Lock</v>
      </c>
      <c r="DC17" s="5" t="str">
        <f t="shared" si="40"/>
        <v>Lock</v>
      </c>
      <c r="DD17" s="78">
        <f t="shared" si="41"/>
        <v>2</v>
      </c>
      <c r="DE17" s="2"/>
      <c r="DF17" s="2"/>
      <c r="DG17" s="2"/>
      <c r="DH17" s="2"/>
      <c r="DI17" s="2"/>
      <c r="DJ17" s="2"/>
      <c r="DK17" s="5"/>
      <c r="DL17" s="2"/>
      <c r="DM17" s="2"/>
      <c r="DN17" s="2"/>
      <c r="DO17" s="2"/>
      <c r="DP17" s="2"/>
      <c r="DQ17" s="2"/>
      <c r="DR17" s="2"/>
      <c r="DS17" s="2"/>
      <c r="DT17" s="2"/>
      <c r="DU17" s="2"/>
      <c r="DV17" s="2"/>
      <c r="DW17" s="2"/>
      <c r="DX17" s="2"/>
      <c r="DY17" s="2"/>
      <c r="DZ17" s="2"/>
      <c r="EA17" s="2"/>
      <c r="EB17" s="2"/>
      <c r="EC17" s="2"/>
      <c r="ED17" s="2"/>
      <c r="EE17" s="2"/>
      <c r="EF17" s="1"/>
      <c r="EG17" s="98"/>
      <c r="EH17" s="98"/>
      <c r="EI17" s="1"/>
      <c r="EJ17" s="1"/>
      <c r="EK17" s="98"/>
      <c r="EL17" s="1"/>
    </row>
    <row r="18" spans="1:142">
      <c r="A18" s="32">
        <f t="shared" si="0"/>
        <v>1465</v>
      </c>
      <c r="B18" s="3" t="str">
        <f t="shared" si="1"/>
        <v>sv_statement//Statement//Export Statement&amp;PDFID=Jacob Caruthers_1465&amp;SO=Y</v>
      </c>
      <c r="C18" s="5" t="str">
        <f t="shared" si="42"/>
        <v>Statement</v>
      </c>
      <c r="D18" s="5" t="str">
        <f t="shared" si="2"/>
        <v>Jacob Caruthers_1465</v>
      </c>
      <c r="E18" s="5"/>
      <c r="F18" s="5">
        <v>1465</v>
      </c>
      <c r="G18" s="22" t="s">
        <v>194</v>
      </c>
      <c r="H18" s="5" t="s">
        <v>195</v>
      </c>
      <c r="I18" s="5" t="s">
        <v>196</v>
      </c>
      <c r="J18" s="5" t="s">
        <v>152</v>
      </c>
      <c r="K18" s="5" t="s">
        <v>193</v>
      </c>
      <c r="L18" s="31">
        <f t="shared" si="3"/>
        <v>11498</v>
      </c>
      <c r="M18" s="5" t="s">
        <v>197</v>
      </c>
      <c r="N18" s="22" t="s">
        <v>155</v>
      </c>
      <c r="O18" s="100">
        <v>36570</v>
      </c>
      <c r="P18" s="146">
        <f>VLOOKUP(I18,'Job Codes'!$B$2:$I$120,4,FALSE)</f>
        <v>20000</v>
      </c>
      <c r="Q18" s="146">
        <f>VLOOKUP(I18,'Job Codes'!$B$2:$I$120,5,FALSE)</f>
        <v>26000</v>
      </c>
      <c r="R18" s="146">
        <f>VLOOKUP(I18,'Job Codes'!$B$2:$I$120,6,FALSE)</f>
        <v>31200</v>
      </c>
      <c r="S18" s="22" t="s">
        <v>171</v>
      </c>
      <c r="T18" s="146">
        <v>27500</v>
      </c>
      <c r="U18" s="8">
        <f>VLOOKUP(S18,Data!$H$22:$I$25,2,FALSE)*T18</f>
        <v>27500</v>
      </c>
      <c r="V18" s="180">
        <f t="shared" si="4"/>
        <v>1.0576923076923077</v>
      </c>
      <c r="W18" s="180">
        <f t="shared" si="5"/>
        <v>0</v>
      </c>
      <c r="X18" s="22" t="str">
        <f t="shared" si="6"/>
        <v>No</v>
      </c>
      <c r="Y18" s="180">
        <f t="shared" si="7"/>
        <v>0</v>
      </c>
      <c r="Z18" s="146">
        <f t="shared" si="8"/>
        <v>0</v>
      </c>
      <c r="AA18" s="146">
        <f t="shared" si="9"/>
        <v>0</v>
      </c>
      <c r="AB18" s="72"/>
      <c r="AC18" s="146">
        <f>AB18/VLOOKUP(S18,Data!$H$22:$I$25,2,FALSE)</f>
        <v>0</v>
      </c>
      <c r="AD18" s="22" t="s">
        <v>157</v>
      </c>
      <c r="AE18" s="146">
        <f>VLOOKUP(S18,Data!$H$22:$J$25,3,FALSE)*T18</f>
        <v>825</v>
      </c>
      <c r="AF18" s="8">
        <f>VLOOKUP(S18,Data!$H$22:$I$25,2,FALSE)*AE18</f>
        <v>825</v>
      </c>
      <c r="AG18" s="8" t="s">
        <v>158</v>
      </c>
      <c r="AH18" s="23">
        <v>0.06</v>
      </c>
      <c r="AI18" s="72"/>
      <c r="AJ18" s="159">
        <f t="shared" si="10"/>
        <v>0.06</v>
      </c>
      <c r="AK18" s="168">
        <f t="shared" si="43"/>
        <v>1650</v>
      </c>
      <c r="AL18" s="160">
        <f t="shared" si="44"/>
        <v>1650</v>
      </c>
      <c r="AM18" s="168">
        <f t="shared" si="11"/>
        <v>29150</v>
      </c>
      <c r="AN18" s="160">
        <f t="shared" si="12"/>
        <v>29150</v>
      </c>
      <c r="AO18" s="160" t="str">
        <f t="shared" si="45"/>
        <v>No</v>
      </c>
      <c r="AP18" s="146">
        <f>IF(AQ18=0,0,AQ18/VLOOKUP(S18,Data!$H$22:$I$25,2,FALSE))</f>
        <v>0</v>
      </c>
      <c r="AQ18" s="183">
        <f t="shared" si="13"/>
        <v>0</v>
      </c>
      <c r="AR18" s="165">
        <f t="shared" si="14"/>
        <v>1650</v>
      </c>
      <c r="AS18" s="183">
        <f t="shared" si="15"/>
        <v>1650</v>
      </c>
      <c r="AT18" s="250">
        <f t="shared" si="16"/>
        <v>0.06</v>
      </c>
      <c r="AU18" s="146">
        <f t="shared" si="17"/>
        <v>29150</v>
      </c>
      <c r="AV18" s="8">
        <f t="shared" si="18"/>
        <v>29150</v>
      </c>
      <c r="AW18" s="8" t="str">
        <f t="shared" si="19"/>
        <v/>
      </c>
      <c r="AX18" s="180">
        <f t="shared" si="20"/>
        <v>1.1211538461538462</v>
      </c>
      <c r="AY18" s="146">
        <f t="shared" si="21"/>
        <v>0</v>
      </c>
      <c r="AZ18" s="146">
        <f t="shared" si="22"/>
        <v>0</v>
      </c>
      <c r="BA18" s="22" t="s">
        <v>159</v>
      </c>
      <c r="BB18" s="149"/>
      <c r="BC18" s="149"/>
      <c r="BD18" s="144"/>
      <c r="BE18" s="146" t="str">
        <f t="shared" si="23"/>
        <v/>
      </c>
      <c r="BF18" s="8" t="str">
        <f t="shared" si="24"/>
        <v/>
      </c>
      <c r="BG18" s="8" t="str">
        <f>IF(LEN(BC18)&gt;0,VLOOKUP(BC18,'Job Codes'!B11:I129,7,FALSE),"")</f>
        <v/>
      </c>
      <c r="BH18" s="192" t="str">
        <f>IF(LEN(BC18)&gt;0,VLOOKUP(BC18,'Job Codes'!B11:I129,8,FALSE),"")</f>
        <v/>
      </c>
      <c r="BI18" s="192" t="str">
        <f>IF(LEN(BC18)&gt;0,VLOOKUP(BC18,'Job Codes'!$B$2:$J$120,9,FALSE),"")</f>
        <v/>
      </c>
      <c r="BJ18" s="146" t="str">
        <f>IF(LEN(BC18)&gt;0,VLOOKUP(BC18,'Job Codes'!$B$2:$I$120,4,FALSE),"")</f>
        <v/>
      </c>
      <c r="BK18" s="146" t="str">
        <f>IF(LEN(BC18)&gt;0,VLOOKUP(BC18,'Job Codes'!$B$2:$I$120,5,FALSE),"")</f>
        <v/>
      </c>
      <c r="BL18" s="146" t="str">
        <f>IF(LEN(BC18)&gt;0,VLOOKUP(BC18,'Job Codes'!$B$2:$I$120,6,FALSE),"")</f>
        <v/>
      </c>
      <c r="BM18" s="168">
        <f t="shared" si="25"/>
        <v>29150</v>
      </c>
      <c r="BN18" s="160">
        <f t="shared" si="26"/>
        <v>29150</v>
      </c>
      <c r="BO18" s="22" t="s">
        <v>159</v>
      </c>
      <c r="BP18" s="157">
        <f>VLOOKUP(I18,'Job Codes'!$B$2:$I$120,8,FALSE)</f>
        <v>0</v>
      </c>
      <c r="BQ18" s="25" t="str">
        <f>IF(O18&gt;Data!$H$33,"Yes","No")</f>
        <v>No</v>
      </c>
      <c r="BR18" s="191">
        <v>0</v>
      </c>
      <c r="BS18" s="150">
        <f t="shared" si="27"/>
        <v>0</v>
      </c>
      <c r="BT18" s="25">
        <f t="shared" si="28"/>
        <v>0</v>
      </c>
      <c r="BU18" s="161">
        <v>1</v>
      </c>
      <c r="BV18" s="168">
        <f t="shared" si="29"/>
        <v>0</v>
      </c>
      <c r="BW18" s="160">
        <f t="shared" si="30"/>
        <v>0</v>
      </c>
      <c r="BX18" s="149"/>
      <c r="BY18" s="32">
        <f t="shared" si="31"/>
        <v>0</v>
      </c>
      <c r="BZ18" s="22" t="s">
        <v>159</v>
      </c>
      <c r="CA18" s="231">
        <f>VLOOKUP(I18,'Job Codes'!$B$2:$J$120,9,FALSE)</f>
        <v>0</v>
      </c>
      <c r="CB18" s="253">
        <f t="shared" si="32"/>
        <v>0</v>
      </c>
      <c r="CC18" s="72"/>
      <c r="CD18" s="25" t="str">
        <f t="shared" si="33"/>
        <v>Exceeds</v>
      </c>
      <c r="CE18" s="27"/>
      <c r="CF18" s="27"/>
      <c r="CG18" s="27"/>
      <c r="CH18" s="27"/>
      <c r="CI18" s="27"/>
      <c r="CJ18" s="3">
        <v>20714</v>
      </c>
      <c r="CK18" s="3" t="s">
        <v>198</v>
      </c>
      <c r="CL18" s="3">
        <v>4569</v>
      </c>
      <c r="CM18" s="3" t="s">
        <v>161</v>
      </c>
      <c r="CN18" s="3">
        <v>4571</v>
      </c>
      <c r="CO18" s="3" t="s">
        <v>162</v>
      </c>
      <c r="CP18" s="3">
        <v>12345</v>
      </c>
      <c r="CQ18" s="3" t="s">
        <v>163</v>
      </c>
      <c r="CR18" s="246" t="s">
        <v>166</v>
      </c>
      <c r="CS18" s="247" t="s">
        <v>167</v>
      </c>
      <c r="CT18" s="246" t="s">
        <v>199</v>
      </c>
      <c r="CU18" s="247" t="s">
        <v>200</v>
      </c>
      <c r="CV18" s="3" t="str">
        <f t="shared" si="34"/>
        <v>99485;36523</v>
      </c>
      <c r="CW18" s="3" t="s">
        <v>168</v>
      </c>
      <c r="CX18" s="3" t="str">
        <f t="shared" si="35"/>
        <v>AB18;;BB18:BD18;BU18;BX18</v>
      </c>
      <c r="CY18" s="5" t="str">
        <f t="shared" si="36"/>
        <v>Unlock</v>
      </c>
      <c r="CZ18" s="5" t="str">
        <f t="shared" si="37"/>
        <v>Lock</v>
      </c>
      <c r="DA18" s="5" t="str">
        <f t="shared" si="38"/>
        <v>Lock</v>
      </c>
      <c r="DB18" s="5" t="str">
        <f t="shared" si="39"/>
        <v>Lock</v>
      </c>
      <c r="DC18" s="5" t="str">
        <f t="shared" si="40"/>
        <v>Lock</v>
      </c>
      <c r="DD18" s="78">
        <f t="shared" si="41"/>
        <v>2</v>
      </c>
      <c r="DE18" s="2"/>
      <c r="DF18" s="2"/>
      <c r="DG18" s="2"/>
      <c r="DH18" s="2"/>
      <c r="DI18" s="2"/>
      <c r="DJ18" s="2"/>
      <c r="DK18" s="5"/>
      <c r="DL18" s="2"/>
      <c r="DM18" s="2"/>
      <c r="DN18" s="2"/>
      <c r="DO18" s="2"/>
      <c r="DP18" s="2"/>
      <c r="DQ18" s="2"/>
      <c r="DR18" s="2"/>
      <c r="DS18" s="2"/>
      <c r="DT18" s="2"/>
      <c r="DU18" s="2"/>
      <c r="DV18" s="2"/>
      <c r="DW18" s="2"/>
      <c r="DX18" s="2"/>
      <c r="DY18" s="2"/>
      <c r="DZ18" s="2"/>
      <c r="EA18" s="2"/>
      <c r="EB18" s="2"/>
      <c r="EC18" s="2"/>
      <c r="ED18" s="2"/>
      <c r="EE18" s="2"/>
      <c r="EF18" s="1"/>
      <c r="EG18" s="98"/>
      <c r="EH18" s="98"/>
      <c r="EI18" s="1"/>
      <c r="EJ18" s="1"/>
      <c r="EK18" s="98"/>
      <c r="EL18" s="1"/>
    </row>
    <row r="19" spans="1:142">
      <c r="A19" s="32">
        <f t="shared" si="0"/>
        <v>1505</v>
      </c>
      <c r="B19" s="3" t="str">
        <f t="shared" si="1"/>
        <v>sv_statement//Statement//Export Statement&amp;PDFID=Norma Magnuson_1505&amp;SO=Y</v>
      </c>
      <c r="C19" s="5" t="str">
        <f t="shared" si="42"/>
        <v>Statement</v>
      </c>
      <c r="D19" s="5" t="str">
        <f t="shared" si="2"/>
        <v>Norma Magnuson_1505</v>
      </c>
      <c r="E19" s="5"/>
      <c r="F19" s="5">
        <v>1505</v>
      </c>
      <c r="G19" s="22" t="s">
        <v>201</v>
      </c>
      <c r="H19" s="5" t="s">
        <v>173</v>
      </c>
      <c r="I19" s="5" t="s">
        <v>190</v>
      </c>
      <c r="J19" s="5" t="s">
        <v>152</v>
      </c>
      <c r="K19" s="5" t="s">
        <v>193</v>
      </c>
      <c r="L19" s="31">
        <f t="shared" si="3"/>
        <v>11351</v>
      </c>
      <c r="M19" s="5" t="s">
        <v>177</v>
      </c>
      <c r="N19" s="22" t="s">
        <v>155</v>
      </c>
      <c r="O19" s="100">
        <v>36605</v>
      </c>
      <c r="P19" s="146">
        <f>VLOOKUP(I19,'Job Codes'!$B$2:$I$120,4,FALSE)</f>
        <v>33000</v>
      </c>
      <c r="Q19" s="146">
        <f>VLOOKUP(I19,'Job Codes'!$B$2:$I$120,5,FALSE)</f>
        <v>42900</v>
      </c>
      <c r="R19" s="146">
        <f>VLOOKUP(I19,'Job Codes'!$B$2:$I$120,6,FALSE)</f>
        <v>51480</v>
      </c>
      <c r="S19" s="22" t="s">
        <v>171</v>
      </c>
      <c r="T19" s="146">
        <v>29952</v>
      </c>
      <c r="U19" s="8">
        <f>VLOOKUP(S19,Data!$H$22:$I$25,2,FALSE)*T19</f>
        <v>29952</v>
      </c>
      <c r="V19" s="180">
        <f t="shared" si="4"/>
        <v>0.69818181818181824</v>
      </c>
      <c r="W19" s="180">
        <f t="shared" si="5"/>
        <v>0.43229166666666669</v>
      </c>
      <c r="X19" s="22" t="str">
        <f t="shared" si="6"/>
        <v>Yes</v>
      </c>
      <c r="Y19" s="180">
        <f t="shared" si="7"/>
        <v>0.02</v>
      </c>
      <c r="Z19" s="146">
        <f t="shared" si="8"/>
        <v>599.04</v>
      </c>
      <c r="AA19" s="146">
        <f t="shared" si="9"/>
        <v>599.04</v>
      </c>
      <c r="AB19" s="72"/>
      <c r="AC19" s="146">
        <f>AB19/VLOOKUP(S19,Data!$H$22:$I$25,2,FALSE)</f>
        <v>0</v>
      </c>
      <c r="AD19" s="22" t="s">
        <v>157</v>
      </c>
      <c r="AE19" s="146">
        <f>VLOOKUP(S19,Data!$H$22:$J$25,3,FALSE)*T19</f>
        <v>898.56</v>
      </c>
      <c r="AF19" s="8">
        <f>VLOOKUP(S19,Data!$H$22:$I$25,2,FALSE)*AE19</f>
        <v>898.56</v>
      </c>
      <c r="AG19" s="8" t="s">
        <v>158</v>
      </c>
      <c r="AH19" s="23">
        <v>0.03</v>
      </c>
      <c r="AI19" s="72"/>
      <c r="AJ19" s="159">
        <f t="shared" si="10"/>
        <v>0.03</v>
      </c>
      <c r="AK19" s="168">
        <f t="shared" si="43"/>
        <v>898.56</v>
      </c>
      <c r="AL19" s="160">
        <f t="shared" si="44"/>
        <v>898.56</v>
      </c>
      <c r="AM19" s="168">
        <f t="shared" si="11"/>
        <v>30850.560000000001</v>
      </c>
      <c r="AN19" s="160">
        <f t="shared" si="12"/>
        <v>30850.560000000001</v>
      </c>
      <c r="AO19" s="160" t="str">
        <f t="shared" si="45"/>
        <v>No</v>
      </c>
      <c r="AP19" s="146">
        <f>IF(AQ19=0,0,AQ19/VLOOKUP(S19,Data!$H$22:$I$25,2,FALSE))</f>
        <v>0</v>
      </c>
      <c r="AQ19" s="183">
        <f t="shared" si="13"/>
        <v>0</v>
      </c>
      <c r="AR19" s="165">
        <f t="shared" si="14"/>
        <v>898.56</v>
      </c>
      <c r="AS19" s="183">
        <f t="shared" si="15"/>
        <v>898.56</v>
      </c>
      <c r="AT19" s="250">
        <f t="shared" si="16"/>
        <v>0.03</v>
      </c>
      <c r="AU19" s="146">
        <f t="shared" si="17"/>
        <v>30850.560000000001</v>
      </c>
      <c r="AV19" s="8">
        <f t="shared" si="18"/>
        <v>30850.560000000001</v>
      </c>
      <c r="AW19" s="8" t="str">
        <f t="shared" si="19"/>
        <v/>
      </c>
      <c r="AX19" s="180">
        <f t="shared" si="20"/>
        <v>0.71912727272727273</v>
      </c>
      <c r="AY19" s="146">
        <f t="shared" si="21"/>
        <v>0</v>
      </c>
      <c r="AZ19" s="146">
        <f t="shared" si="22"/>
        <v>0</v>
      </c>
      <c r="BA19" s="22" t="s">
        <v>157</v>
      </c>
      <c r="BB19" s="149"/>
      <c r="BC19" s="149"/>
      <c r="BD19" s="144"/>
      <c r="BE19" s="146" t="str">
        <f t="shared" si="23"/>
        <v/>
      </c>
      <c r="BF19" s="8" t="str">
        <f t="shared" si="24"/>
        <v/>
      </c>
      <c r="BG19" s="8" t="str">
        <f>IF(LEN(BC19)&gt;0,VLOOKUP(BC19,'Job Codes'!B12:I130,7,FALSE),"")</f>
        <v/>
      </c>
      <c r="BH19" s="192" t="str">
        <f>IF(LEN(BC19)&gt;0,VLOOKUP(BC19,'Job Codes'!B12:I130,8,FALSE),"")</f>
        <v/>
      </c>
      <c r="BI19" s="192" t="str">
        <f>IF(LEN(BC19)&gt;0,VLOOKUP(BC19,'Job Codes'!$B$2:$J$120,9,FALSE),"")</f>
        <v/>
      </c>
      <c r="BJ19" s="146" t="str">
        <f>IF(LEN(BC19)&gt;0,VLOOKUP(BC19,'Job Codes'!$B$2:$I$120,4,FALSE),"")</f>
        <v/>
      </c>
      <c r="BK19" s="146" t="str">
        <f>IF(LEN(BC19)&gt;0,VLOOKUP(BC19,'Job Codes'!$B$2:$I$120,5,FALSE),"")</f>
        <v/>
      </c>
      <c r="BL19" s="146" t="str">
        <f>IF(LEN(BC19)&gt;0,VLOOKUP(BC19,'Job Codes'!$B$2:$I$120,6,FALSE),"")</f>
        <v/>
      </c>
      <c r="BM19" s="168">
        <f t="shared" si="25"/>
        <v>30850.560000000001</v>
      </c>
      <c r="BN19" s="160">
        <f t="shared" si="26"/>
        <v>30850.560000000001</v>
      </c>
      <c r="BO19" s="22" t="s">
        <v>157</v>
      </c>
      <c r="BP19" s="157">
        <f>VLOOKUP(I19,'Job Codes'!$B$2:$I$120,8,FALSE)</f>
        <v>0.1</v>
      </c>
      <c r="BQ19" s="25" t="str">
        <f>IF(O19&gt;Data!$H$33,"Yes","No")</f>
        <v>No</v>
      </c>
      <c r="BR19" s="191">
        <v>0.1</v>
      </c>
      <c r="BS19" s="150">
        <f t="shared" si="27"/>
        <v>2995.2000000000003</v>
      </c>
      <c r="BT19" s="25">
        <f t="shared" si="28"/>
        <v>2995.2000000000003</v>
      </c>
      <c r="BU19" s="161">
        <v>1</v>
      </c>
      <c r="BV19" s="168">
        <f t="shared" si="29"/>
        <v>2995.2000000000003</v>
      </c>
      <c r="BW19" s="160">
        <f t="shared" si="30"/>
        <v>2995.2000000000003</v>
      </c>
      <c r="BX19" s="149"/>
      <c r="BY19" s="32">
        <f t="shared" si="31"/>
        <v>0</v>
      </c>
      <c r="BZ19" s="22" t="s">
        <v>157</v>
      </c>
      <c r="CA19" s="231">
        <f>VLOOKUP(I19,'Job Codes'!$B$2:$J$120,9,FALSE)</f>
        <v>0.1</v>
      </c>
      <c r="CB19" s="253">
        <f t="shared" si="32"/>
        <v>2995.2000000000003</v>
      </c>
      <c r="CC19" s="72"/>
      <c r="CD19" s="25" t="str">
        <f t="shared" si="33"/>
        <v>Exceeds</v>
      </c>
      <c r="CE19" s="27"/>
      <c r="CF19" s="27"/>
      <c r="CG19" s="27"/>
      <c r="CH19" s="27"/>
      <c r="CI19" s="27"/>
      <c r="CJ19" s="3">
        <v>11308</v>
      </c>
      <c r="CK19" s="3" t="s">
        <v>154</v>
      </c>
      <c r="CL19" s="3">
        <v>4569</v>
      </c>
      <c r="CM19" s="3" t="s">
        <v>161</v>
      </c>
      <c r="CN19" s="3">
        <v>4571</v>
      </c>
      <c r="CO19" s="3" t="s">
        <v>162</v>
      </c>
      <c r="CP19" s="3">
        <v>12345</v>
      </c>
      <c r="CQ19" s="3" t="s">
        <v>163</v>
      </c>
      <c r="CR19" s="246" t="s">
        <v>179</v>
      </c>
      <c r="CS19" s="247" t="s">
        <v>180</v>
      </c>
      <c r="CT19" s="246" t="s">
        <v>166</v>
      </c>
      <c r="CU19" s="247" t="s">
        <v>167</v>
      </c>
      <c r="CV19" s="3" t="str">
        <f t="shared" si="34"/>
        <v>90876;99485</v>
      </c>
      <c r="CW19" s="3" t="s">
        <v>168</v>
      </c>
      <c r="CX19" s="3" t="str">
        <f t="shared" si="35"/>
        <v>;;;;</v>
      </c>
      <c r="CY19" s="5" t="str">
        <f t="shared" si="36"/>
        <v>Unlock</v>
      </c>
      <c r="CZ19" s="5" t="str">
        <f t="shared" si="37"/>
        <v>Lock</v>
      </c>
      <c r="DA19" s="5" t="str">
        <f t="shared" si="38"/>
        <v>Lock</v>
      </c>
      <c r="DB19" s="5" t="str">
        <f t="shared" si="39"/>
        <v>Lock</v>
      </c>
      <c r="DC19" s="5" t="str">
        <f t="shared" si="40"/>
        <v>Lock</v>
      </c>
      <c r="DD19" s="78">
        <f t="shared" si="41"/>
        <v>2</v>
      </c>
      <c r="DE19" s="2"/>
      <c r="DF19" s="2"/>
      <c r="DG19" s="2"/>
      <c r="DH19" s="2"/>
      <c r="DI19" s="2"/>
      <c r="DJ19" s="2"/>
      <c r="DK19" s="5"/>
      <c r="DL19" s="2"/>
      <c r="DM19" s="2"/>
      <c r="DN19" s="2"/>
      <c r="DO19" s="2"/>
      <c r="DP19" s="2"/>
      <c r="DQ19" s="2"/>
      <c r="DR19" s="2"/>
      <c r="DS19" s="2"/>
      <c r="DT19" s="2"/>
      <c r="DU19" s="2"/>
      <c r="DV19" s="2"/>
      <c r="DW19" s="2"/>
      <c r="DX19" s="2"/>
      <c r="DY19" s="2"/>
      <c r="DZ19" s="2"/>
      <c r="EA19" s="2"/>
      <c r="EB19" s="2"/>
      <c r="EC19" s="2"/>
      <c r="ED19" s="2"/>
      <c r="EE19" s="2"/>
      <c r="EF19" s="1"/>
      <c r="EG19" s="98"/>
      <c r="EH19" s="98"/>
      <c r="EI19" s="1"/>
      <c r="EJ19" s="1"/>
      <c r="EK19" s="98"/>
      <c r="EL19" s="1"/>
    </row>
    <row r="20" spans="1:142">
      <c r="A20" s="32">
        <f t="shared" si="0"/>
        <v>1534</v>
      </c>
      <c r="B20" s="3" t="str">
        <f t="shared" si="1"/>
        <v>sv_statement//Statement//Export Statement&amp;PDFID=Paula Geller_1534&amp;SO=Y</v>
      </c>
      <c r="C20" s="5" t="str">
        <f t="shared" si="42"/>
        <v>Statement</v>
      </c>
      <c r="D20" s="5" t="str">
        <f t="shared" si="2"/>
        <v>Paula Geller_1534</v>
      </c>
      <c r="E20" s="5"/>
      <c r="F20" s="5">
        <v>1534</v>
      </c>
      <c r="G20" s="22" t="s">
        <v>202</v>
      </c>
      <c r="H20" s="5" t="s">
        <v>173</v>
      </c>
      <c r="I20" s="5" t="s">
        <v>188</v>
      </c>
      <c r="J20" s="5" t="s">
        <v>152</v>
      </c>
      <c r="K20" s="5" t="s">
        <v>193</v>
      </c>
      <c r="L20" s="31">
        <f t="shared" si="3"/>
        <v>11277</v>
      </c>
      <c r="M20" s="5" t="s">
        <v>203</v>
      </c>
      <c r="N20" s="22" t="s">
        <v>155</v>
      </c>
      <c r="O20" s="100">
        <v>36619</v>
      </c>
      <c r="P20" s="146">
        <f>VLOOKUP(I20,'Job Codes'!$B$2:$I$120,4,FALSE)</f>
        <v>26500</v>
      </c>
      <c r="Q20" s="146">
        <f>VLOOKUP(I20,'Job Codes'!$B$2:$I$120,5,FALSE)</f>
        <v>34450</v>
      </c>
      <c r="R20" s="146">
        <f>VLOOKUP(I20,'Job Codes'!$B$2:$I$120,6,FALSE)</f>
        <v>41340</v>
      </c>
      <c r="S20" s="22" t="s">
        <v>171</v>
      </c>
      <c r="T20" s="146">
        <v>31554</v>
      </c>
      <c r="U20" s="8">
        <f>VLOOKUP(S20,Data!$H$22:$I$25,2,FALSE)*T20</f>
        <v>31554</v>
      </c>
      <c r="V20" s="180">
        <f t="shared" si="4"/>
        <v>0.91593613933236573</v>
      </c>
      <c r="W20" s="180">
        <f t="shared" si="5"/>
        <v>9.1779172212714713E-2</v>
      </c>
      <c r="X20" s="22" t="str">
        <f t="shared" si="6"/>
        <v>Yes</v>
      </c>
      <c r="Y20" s="180">
        <f t="shared" si="7"/>
        <v>0.02</v>
      </c>
      <c r="Z20" s="146">
        <f t="shared" si="8"/>
        <v>631.08000000000004</v>
      </c>
      <c r="AA20" s="146">
        <f t="shared" si="9"/>
        <v>631.08000000000004</v>
      </c>
      <c r="AB20" s="72"/>
      <c r="AC20" s="146">
        <f>AB20/VLOOKUP(S20,Data!$H$22:$I$25,2,FALSE)</f>
        <v>0</v>
      </c>
      <c r="AD20" s="22" t="s">
        <v>157</v>
      </c>
      <c r="AE20" s="146">
        <f>VLOOKUP(S20,Data!$H$22:$J$25,3,FALSE)*T20</f>
        <v>946.62</v>
      </c>
      <c r="AF20" s="8">
        <f>VLOOKUP(S20,Data!$H$22:$I$25,2,FALSE)*AE20</f>
        <v>946.62</v>
      </c>
      <c r="AG20" s="8" t="s">
        <v>158</v>
      </c>
      <c r="AH20" s="23">
        <v>0.04</v>
      </c>
      <c r="AI20" s="72"/>
      <c r="AJ20" s="159">
        <f t="shared" si="10"/>
        <v>0.04</v>
      </c>
      <c r="AK20" s="168">
        <f t="shared" si="43"/>
        <v>1262.1600000000001</v>
      </c>
      <c r="AL20" s="160">
        <f t="shared" si="44"/>
        <v>1262.1600000000001</v>
      </c>
      <c r="AM20" s="168">
        <f t="shared" si="11"/>
        <v>32816.160000000003</v>
      </c>
      <c r="AN20" s="160">
        <f t="shared" si="12"/>
        <v>32816.160000000003</v>
      </c>
      <c r="AO20" s="160" t="str">
        <f t="shared" si="45"/>
        <v>No</v>
      </c>
      <c r="AP20" s="146">
        <f>IF(AQ20=0,0,AQ20/VLOOKUP(S20,Data!$H$22:$I$25,2,FALSE))</f>
        <v>0</v>
      </c>
      <c r="AQ20" s="183">
        <f t="shared" si="13"/>
        <v>0</v>
      </c>
      <c r="AR20" s="165">
        <f t="shared" si="14"/>
        <v>1262.1600000000001</v>
      </c>
      <c r="AS20" s="183">
        <f t="shared" si="15"/>
        <v>1262.1600000000001</v>
      </c>
      <c r="AT20" s="250">
        <f t="shared" si="16"/>
        <v>0.04</v>
      </c>
      <c r="AU20" s="146">
        <f t="shared" si="17"/>
        <v>32816.160000000003</v>
      </c>
      <c r="AV20" s="8">
        <f t="shared" si="18"/>
        <v>32816.160000000003</v>
      </c>
      <c r="AW20" s="8" t="str">
        <f t="shared" si="19"/>
        <v/>
      </c>
      <c r="AX20" s="180">
        <f t="shared" si="20"/>
        <v>0.95257358490566046</v>
      </c>
      <c r="AY20" s="146">
        <f t="shared" si="21"/>
        <v>0</v>
      </c>
      <c r="AZ20" s="146">
        <f t="shared" si="22"/>
        <v>0</v>
      </c>
      <c r="BA20" s="22" t="s">
        <v>157</v>
      </c>
      <c r="BB20" s="149"/>
      <c r="BC20" s="149"/>
      <c r="BD20" s="144"/>
      <c r="BE20" s="146" t="str">
        <f t="shared" si="23"/>
        <v/>
      </c>
      <c r="BF20" s="8" t="str">
        <f t="shared" si="24"/>
        <v/>
      </c>
      <c r="BG20" s="8" t="str">
        <f>IF(LEN(BC20)&gt;0,VLOOKUP(BC20,'Job Codes'!B13:I131,7,FALSE),"")</f>
        <v/>
      </c>
      <c r="BH20" s="192" t="str">
        <f>IF(LEN(BC20)&gt;0,VLOOKUP(BC20,'Job Codes'!B13:I131,8,FALSE),"")</f>
        <v/>
      </c>
      <c r="BI20" s="192" t="str">
        <f>IF(LEN(BC20)&gt;0,VLOOKUP(BC20,'Job Codes'!$B$2:$J$120,9,FALSE),"")</f>
        <v/>
      </c>
      <c r="BJ20" s="146" t="str">
        <f>IF(LEN(BC20)&gt;0,VLOOKUP(BC20,'Job Codes'!$B$2:$I$120,4,FALSE),"")</f>
        <v/>
      </c>
      <c r="BK20" s="146" t="str">
        <f>IF(LEN(BC20)&gt;0,VLOOKUP(BC20,'Job Codes'!$B$2:$I$120,5,FALSE),"")</f>
        <v/>
      </c>
      <c r="BL20" s="146" t="str">
        <f>IF(LEN(BC20)&gt;0,VLOOKUP(BC20,'Job Codes'!$B$2:$I$120,6,FALSE),"")</f>
        <v/>
      </c>
      <c r="BM20" s="168">
        <f t="shared" si="25"/>
        <v>32816.160000000003</v>
      </c>
      <c r="BN20" s="160">
        <f t="shared" si="26"/>
        <v>32816.160000000003</v>
      </c>
      <c r="BO20" s="22" t="s">
        <v>157</v>
      </c>
      <c r="BP20" s="157">
        <f>VLOOKUP(I20,'Job Codes'!$B$2:$I$120,8,FALSE)</f>
        <v>0.05</v>
      </c>
      <c r="BQ20" s="25" t="str">
        <f>IF(O20&gt;Data!$H$33,"Yes","No")</f>
        <v>No</v>
      </c>
      <c r="BR20" s="191">
        <v>0.05</v>
      </c>
      <c r="BS20" s="150">
        <f t="shared" si="27"/>
        <v>1577.7</v>
      </c>
      <c r="BT20" s="25">
        <f t="shared" si="28"/>
        <v>1577.7</v>
      </c>
      <c r="BU20" s="161">
        <v>1</v>
      </c>
      <c r="BV20" s="168">
        <f t="shared" si="29"/>
        <v>1577.7</v>
      </c>
      <c r="BW20" s="160">
        <f t="shared" si="30"/>
        <v>1577.7</v>
      </c>
      <c r="BX20" s="149"/>
      <c r="BY20" s="32">
        <f t="shared" si="31"/>
        <v>0</v>
      </c>
      <c r="BZ20" s="22" t="s">
        <v>159</v>
      </c>
      <c r="CA20" s="231">
        <f>VLOOKUP(I20,'Job Codes'!$B$2:$J$120,9,FALSE)</f>
        <v>0</v>
      </c>
      <c r="CB20" s="253">
        <f t="shared" si="32"/>
        <v>0</v>
      </c>
      <c r="CC20" s="72"/>
      <c r="CD20" s="25" t="str">
        <f t="shared" si="33"/>
        <v>Exceeds</v>
      </c>
      <c r="CE20" s="27" t="s">
        <v>160</v>
      </c>
      <c r="CF20" s="27"/>
      <c r="CG20" s="27"/>
      <c r="CH20" s="27"/>
      <c r="CI20" s="27"/>
      <c r="CJ20" s="3">
        <v>11308</v>
      </c>
      <c r="CK20" s="3" t="s">
        <v>154</v>
      </c>
      <c r="CL20" s="3">
        <v>4569</v>
      </c>
      <c r="CM20" s="3" t="s">
        <v>161</v>
      </c>
      <c r="CN20" s="3">
        <v>4571</v>
      </c>
      <c r="CO20" s="3" t="s">
        <v>162</v>
      </c>
      <c r="CP20" s="3">
        <v>12345</v>
      </c>
      <c r="CQ20" s="3" t="s">
        <v>163</v>
      </c>
      <c r="CR20" s="246" t="s">
        <v>179</v>
      </c>
      <c r="CS20" s="247" t="s">
        <v>180</v>
      </c>
      <c r="CT20" s="246" t="s">
        <v>166</v>
      </c>
      <c r="CU20" s="247" t="s">
        <v>167</v>
      </c>
      <c r="CV20" s="3" t="str">
        <f t="shared" si="34"/>
        <v>90876;99485</v>
      </c>
      <c r="CW20" s="3" t="s">
        <v>168</v>
      </c>
      <c r="CX20" s="3" t="str">
        <f t="shared" si="35"/>
        <v>;;;;CC20</v>
      </c>
      <c r="CY20" s="5" t="str">
        <f t="shared" si="36"/>
        <v>Lock</v>
      </c>
      <c r="CZ20" s="5" t="str">
        <f t="shared" si="37"/>
        <v>Unlock</v>
      </c>
      <c r="DA20" s="5" t="str">
        <f t="shared" si="38"/>
        <v>Lock</v>
      </c>
      <c r="DB20" s="5" t="str">
        <f t="shared" si="39"/>
        <v>Lock</v>
      </c>
      <c r="DC20" s="5" t="str">
        <f t="shared" si="40"/>
        <v>Lock</v>
      </c>
      <c r="DD20" s="78">
        <f t="shared" si="41"/>
        <v>2</v>
      </c>
      <c r="DE20" s="2"/>
      <c r="DF20" s="2"/>
      <c r="DG20" s="2"/>
      <c r="DH20" s="2"/>
      <c r="DI20" s="2"/>
      <c r="DJ20" s="2"/>
      <c r="DK20" s="5"/>
      <c r="DL20" s="2"/>
      <c r="DM20" s="2"/>
      <c r="DN20" s="2"/>
      <c r="DO20" s="2"/>
      <c r="DP20" s="2"/>
      <c r="DQ20" s="2"/>
      <c r="DR20" s="2"/>
      <c r="DS20" s="2"/>
      <c r="DT20" s="2"/>
      <c r="DU20" s="2"/>
      <c r="DV20" s="2"/>
      <c r="DW20" s="2"/>
      <c r="DX20" s="2"/>
      <c r="DY20" s="2"/>
      <c r="DZ20" s="2"/>
      <c r="EA20" s="2"/>
      <c r="EB20" s="2"/>
      <c r="EC20" s="2"/>
      <c r="ED20" s="2"/>
      <c r="EE20" s="2"/>
      <c r="EF20" s="1"/>
      <c r="EG20" s="98"/>
      <c r="EH20" s="98"/>
      <c r="EI20" s="1"/>
      <c r="EJ20" s="1"/>
      <c r="EK20" s="98"/>
      <c r="EL20" s="1"/>
    </row>
    <row r="21" spans="1:142">
      <c r="A21" s="32">
        <f t="shared" si="0"/>
        <v>1547</v>
      </c>
      <c r="B21" s="3" t="str">
        <f t="shared" si="1"/>
        <v>sv_statement//Statement//Export Statement&amp;PDFID=Albert Gillen_1547&amp;SO=Y</v>
      </c>
      <c r="C21" s="5" t="str">
        <f t="shared" si="42"/>
        <v>Statement</v>
      </c>
      <c r="D21" s="5" t="str">
        <f t="shared" si="2"/>
        <v>Albert Gillen_1547</v>
      </c>
      <c r="E21" s="5"/>
      <c r="F21" s="5">
        <v>1547</v>
      </c>
      <c r="G21" s="22" t="s">
        <v>204</v>
      </c>
      <c r="H21" s="5" t="s">
        <v>150</v>
      </c>
      <c r="I21" s="5" t="s">
        <v>205</v>
      </c>
      <c r="J21" s="5" t="s">
        <v>152</v>
      </c>
      <c r="K21" s="5" t="s">
        <v>193</v>
      </c>
      <c r="L21" s="31">
        <f t="shared" si="3"/>
        <v>11277</v>
      </c>
      <c r="M21" s="5" t="s">
        <v>203</v>
      </c>
      <c r="N21" s="22" t="s">
        <v>155</v>
      </c>
      <c r="O21" s="100">
        <v>36630</v>
      </c>
      <c r="P21" s="146">
        <f>VLOOKUP(I21,'Job Codes'!$B$2:$I$120,4,FALSE)</f>
        <v>29000</v>
      </c>
      <c r="Q21" s="146">
        <f>VLOOKUP(I21,'Job Codes'!$B$2:$I$120,5,FALSE)</f>
        <v>37700</v>
      </c>
      <c r="R21" s="146">
        <f>VLOOKUP(I21,'Job Codes'!$B$2:$I$120,6,FALSE)</f>
        <v>45240</v>
      </c>
      <c r="S21" s="22" t="s">
        <v>171</v>
      </c>
      <c r="T21" s="146">
        <v>40102</v>
      </c>
      <c r="U21" s="8">
        <f>VLOOKUP(S21,Data!$H$22:$I$25,2,FALSE)*T21</f>
        <v>40102</v>
      </c>
      <c r="V21" s="180">
        <f t="shared" si="4"/>
        <v>1.0637135278514589</v>
      </c>
      <c r="W21" s="180">
        <f t="shared" si="5"/>
        <v>0</v>
      </c>
      <c r="X21" s="22" t="str">
        <f t="shared" si="6"/>
        <v>No</v>
      </c>
      <c r="Y21" s="180">
        <f t="shared" si="7"/>
        <v>0</v>
      </c>
      <c r="Z21" s="146">
        <f t="shared" si="8"/>
        <v>0</v>
      </c>
      <c r="AA21" s="146">
        <f t="shared" si="9"/>
        <v>0</v>
      </c>
      <c r="AB21" s="72"/>
      <c r="AC21" s="146">
        <f>AB21/VLOOKUP(S21,Data!$H$22:$I$25,2,FALSE)</f>
        <v>0</v>
      </c>
      <c r="AD21" s="22" t="s">
        <v>157</v>
      </c>
      <c r="AE21" s="146">
        <f>VLOOKUP(S21,Data!$H$22:$J$25,3,FALSE)*T21</f>
        <v>1203.06</v>
      </c>
      <c r="AF21" s="8">
        <f>VLOOKUP(S21,Data!$H$22:$I$25,2,FALSE)*AE21</f>
        <v>1203.06</v>
      </c>
      <c r="AG21" s="8" t="s">
        <v>172</v>
      </c>
      <c r="AH21" s="23">
        <v>0</v>
      </c>
      <c r="AI21" s="72"/>
      <c r="AJ21" s="159">
        <f t="shared" si="10"/>
        <v>0</v>
      </c>
      <c r="AK21" s="168">
        <f t="shared" si="43"/>
        <v>0</v>
      </c>
      <c r="AL21" s="160">
        <f t="shared" si="44"/>
        <v>0</v>
      </c>
      <c r="AM21" s="168">
        <f t="shared" si="11"/>
        <v>40102</v>
      </c>
      <c r="AN21" s="160">
        <f t="shared" si="12"/>
        <v>40102</v>
      </c>
      <c r="AO21" s="160" t="str">
        <f t="shared" si="45"/>
        <v>No</v>
      </c>
      <c r="AP21" s="146">
        <f>IF(AQ21=0,0,AQ21/VLOOKUP(S21,Data!$H$22:$I$25,2,FALSE))</f>
        <v>0</v>
      </c>
      <c r="AQ21" s="183">
        <f t="shared" si="13"/>
        <v>0</v>
      </c>
      <c r="AR21" s="165">
        <f t="shared" si="14"/>
        <v>0</v>
      </c>
      <c r="AS21" s="183">
        <f t="shared" si="15"/>
        <v>0</v>
      </c>
      <c r="AT21" s="250">
        <f t="shared" si="16"/>
        <v>0</v>
      </c>
      <c r="AU21" s="146">
        <f t="shared" si="17"/>
        <v>40102</v>
      </c>
      <c r="AV21" s="8">
        <f t="shared" si="18"/>
        <v>40102</v>
      </c>
      <c r="AW21" s="8" t="str">
        <f t="shared" si="19"/>
        <v/>
      </c>
      <c r="AX21" s="180">
        <f t="shared" si="20"/>
        <v>1.0637135278514589</v>
      </c>
      <c r="AY21" s="146">
        <f t="shared" si="21"/>
        <v>0</v>
      </c>
      <c r="AZ21" s="146">
        <f t="shared" si="22"/>
        <v>0</v>
      </c>
      <c r="BA21" s="22" t="s">
        <v>159</v>
      </c>
      <c r="BB21" s="149"/>
      <c r="BC21" s="149"/>
      <c r="BD21" s="144"/>
      <c r="BE21" s="146" t="str">
        <f t="shared" si="23"/>
        <v/>
      </c>
      <c r="BF21" s="8" t="str">
        <f t="shared" si="24"/>
        <v/>
      </c>
      <c r="BG21" s="8" t="str">
        <f>IF(LEN(BC21)&gt;0,VLOOKUP(BC21,'Job Codes'!B14:I132,7,FALSE),"")</f>
        <v/>
      </c>
      <c r="BH21" s="192" t="str">
        <f>IF(LEN(BC21)&gt;0,VLOOKUP(BC21,'Job Codes'!B14:I132,8,FALSE),"")</f>
        <v/>
      </c>
      <c r="BI21" s="192" t="str">
        <f>IF(LEN(BC21)&gt;0,VLOOKUP(BC21,'Job Codes'!$B$2:$J$120,9,FALSE),"")</f>
        <v/>
      </c>
      <c r="BJ21" s="146" t="str">
        <f>IF(LEN(BC21)&gt;0,VLOOKUP(BC21,'Job Codes'!$B$2:$I$120,4,FALSE),"")</f>
        <v/>
      </c>
      <c r="BK21" s="146" t="str">
        <f>IF(LEN(BC21)&gt;0,VLOOKUP(BC21,'Job Codes'!$B$2:$I$120,5,FALSE),"")</f>
        <v/>
      </c>
      <c r="BL21" s="146" t="str">
        <f>IF(LEN(BC21)&gt;0,VLOOKUP(BC21,'Job Codes'!$B$2:$I$120,6,FALSE),"")</f>
        <v/>
      </c>
      <c r="BM21" s="168">
        <f t="shared" si="25"/>
        <v>40102</v>
      </c>
      <c r="BN21" s="160">
        <f t="shared" si="26"/>
        <v>40102</v>
      </c>
      <c r="BO21" s="22" t="s">
        <v>157</v>
      </c>
      <c r="BP21" s="157">
        <f>VLOOKUP(I21,'Job Codes'!$B$2:$I$120,8,FALSE)</f>
        <v>0.1</v>
      </c>
      <c r="BQ21" s="25" t="str">
        <f>IF(O21&gt;Data!$H$33,"Yes","No")</f>
        <v>No</v>
      </c>
      <c r="BR21" s="191">
        <v>0.1</v>
      </c>
      <c r="BS21" s="150">
        <f t="shared" si="27"/>
        <v>4010.2000000000003</v>
      </c>
      <c r="BT21" s="25">
        <f t="shared" si="28"/>
        <v>4010.2000000000003</v>
      </c>
      <c r="BU21" s="161">
        <v>1</v>
      </c>
      <c r="BV21" s="168">
        <f t="shared" si="29"/>
        <v>4010.2000000000003</v>
      </c>
      <c r="BW21" s="160">
        <f t="shared" si="30"/>
        <v>4010.2000000000003</v>
      </c>
      <c r="BX21" s="149"/>
      <c r="BY21" s="32">
        <f t="shared" si="31"/>
        <v>0</v>
      </c>
      <c r="BZ21" s="22" t="s">
        <v>157</v>
      </c>
      <c r="CA21" s="231">
        <f>VLOOKUP(I21,'Job Codes'!$B$2:$J$120,9,FALSE)</f>
        <v>0.05</v>
      </c>
      <c r="CB21" s="253">
        <f t="shared" si="32"/>
        <v>2005.1000000000001</v>
      </c>
      <c r="CC21" s="72"/>
      <c r="CD21" s="25" t="str">
        <f t="shared" si="33"/>
        <v>Below</v>
      </c>
      <c r="CE21" s="27" t="s">
        <v>160</v>
      </c>
      <c r="CF21" s="27"/>
      <c r="CG21" s="27"/>
      <c r="CH21" s="27"/>
      <c r="CI21" s="27"/>
      <c r="CJ21" s="3">
        <v>11308</v>
      </c>
      <c r="CK21" s="3" t="s">
        <v>154</v>
      </c>
      <c r="CL21" s="3">
        <v>4569</v>
      </c>
      <c r="CM21" s="3" t="s">
        <v>161</v>
      </c>
      <c r="CN21" s="3">
        <v>4571</v>
      </c>
      <c r="CO21" s="3" t="s">
        <v>162</v>
      </c>
      <c r="CP21" s="3">
        <v>12345</v>
      </c>
      <c r="CQ21" s="3" t="s">
        <v>163</v>
      </c>
      <c r="CR21" s="246" t="s">
        <v>179</v>
      </c>
      <c r="CS21" s="247" t="s">
        <v>180</v>
      </c>
      <c r="CT21" s="246" t="s">
        <v>166</v>
      </c>
      <c r="CU21" s="247" t="s">
        <v>167</v>
      </c>
      <c r="CV21" s="3" t="str">
        <f t="shared" si="34"/>
        <v>90876;99485</v>
      </c>
      <c r="CW21" s="3" t="s">
        <v>168</v>
      </c>
      <c r="CX21" s="3" t="str">
        <f t="shared" si="35"/>
        <v>AB21;;BB21:BD21;;</v>
      </c>
      <c r="CY21" s="5" t="str">
        <f t="shared" si="36"/>
        <v>Lock</v>
      </c>
      <c r="CZ21" s="5" t="str">
        <f t="shared" si="37"/>
        <v>Unlock</v>
      </c>
      <c r="DA21" s="5" t="str">
        <f t="shared" si="38"/>
        <v>Lock</v>
      </c>
      <c r="DB21" s="5" t="str">
        <f t="shared" si="39"/>
        <v>Lock</v>
      </c>
      <c r="DC21" s="5" t="str">
        <f t="shared" si="40"/>
        <v>Lock</v>
      </c>
      <c r="DD21" s="78">
        <f t="shared" si="41"/>
        <v>2</v>
      </c>
      <c r="DE21" s="2"/>
      <c r="DF21" s="2"/>
      <c r="DG21" s="2"/>
      <c r="DH21" s="2"/>
      <c r="DI21" s="2"/>
      <c r="DJ21" s="2"/>
      <c r="DK21" s="5"/>
      <c r="DL21" s="2"/>
      <c r="DM21" s="2"/>
      <c r="DN21" s="2"/>
      <c r="DO21" s="2"/>
      <c r="DP21" s="2"/>
      <c r="DQ21" s="2"/>
      <c r="DR21" s="2"/>
      <c r="DS21" s="2"/>
      <c r="DT21" s="2"/>
      <c r="DU21" s="2"/>
      <c r="DV21" s="2"/>
      <c r="DW21" s="2"/>
      <c r="DX21" s="2"/>
      <c r="DY21" s="2"/>
      <c r="DZ21" s="2"/>
      <c r="EA21" s="2"/>
      <c r="EB21" s="2"/>
      <c r="EC21" s="2"/>
      <c r="ED21" s="2"/>
      <c r="EE21" s="2"/>
      <c r="EF21" s="1"/>
      <c r="EG21" s="98"/>
      <c r="EH21" s="98"/>
      <c r="EI21" s="1"/>
      <c r="EJ21" s="1"/>
      <c r="EK21" s="98"/>
      <c r="EL21" s="1"/>
    </row>
    <row r="22" spans="1:142">
      <c r="A22" s="32">
        <f t="shared" si="0"/>
        <v>1571</v>
      </c>
      <c r="B22" s="3" t="str">
        <f t="shared" si="1"/>
        <v>sv_statement//Statement//Export Statement&amp;PDFID=Danny Twyman_1571&amp;SO=Y</v>
      </c>
      <c r="C22" s="5" t="str">
        <f t="shared" si="42"/>
        <v>Statement</v>
      </c>
      <c r="D22" s="5" t="str">
        <f t="shared" si="2"/>
        <v>Danny Twyman_1571</v>
      </c>
      <c r="E22" s="5"/>
      <c r="F22" s="5">
        <v>1571</v>
      </c>
      <c r="G22" s="22" t="s">
        <v>206</v>
      </c>
      <c r="H22" s="5" t="s">
        <v>150</v>
      </c>
      <c r="I22" s="5" t="s">
        <v>151</v>
      </c>
      <c r="J22" s="5" t="s">
        <v>152</v>
      </c>
      <c r="K22" s="5" t="s">
        <v>193</v>
      </c>
      <c r="L22" s="31">
        <f t="shared" si="3"/>
        <v>11277</v>
      </c>
      <c r="M22" s="5" t="s">
        <v>203</v>
      </c>
      <c r="N22" s="22" t="s">
        <v>155</v>
      </c>
      <c r="O22" s="100">
        <v>36647</v>
      </c>
      <c r="P22" s="146">
        <f>VLOOKUP(I22,'Job Codes'!$B$2:$I$120,4,FALSE)</f>
        <v>27000</v>
      </c>
      <c r="Q22" s="146">
        <f>VLOOKUP(I22,'Job Codes'!$B$2:$I$120,5,FALSE)</f>
        <v>35100</v>
      </c>
      <c r="R22" s="146">
        <f>VLOOKUP(I22,'Job Codes'!$B$2:$I$120,6,FALSE)</f>
        <v>42120</v>
      </c>
      <c r="S22" s="22" t="s">
        <v>171</v>
      </c>
      <c r="T22" s="146">
        <v>33654</v>
      </c>
      <c r="U22" s="8">
        <f>VLOOKUP(S22,Data!$H$22:$I$25,2,FALSE)*T22</f>
        <v>33654</v>
      </c>
      <c r="V22" s="180">
        <f t="shared" si="4"/>
        <v>0.95880341880341879</v>
      </c>
      <c r="W22" s="180">
        <f t="shared" si="5"/>
        <v>4.2966660723836689E-2</v>
      </c>
      <c r="X22" s="22" t="str">
        <f t="shared" si="6"/>
        <v>No</v>
      </c>
      <c r="Y22" s="180">
        <f t="shared" si="7"/>
        <v>0</v>
      </c>
      <c r="Z22" s="146">
        <f t="shared" si="8"/>
        <v>0</v>
      </c>
      <c r="AA22" s="146">
        <f t="shared" si="9"/>
        <v>0</v>
      </c>
      <c r="AB22" s="72"/>
      <c r="AC22" s="146">
        <f>AB22/VLOOKUP(S22,Data!$H$22:$I$25,2,FALSE)</f>
        <v>0</v>
      </c>
      <c r="AD22" s="22" t="s">
        <v>157</v>
      </c>
      <c r="AE22" s="146">
        <f>VLOOKUP(S22,Data!$H$22:$J$25,3,FALSE)*T22</f>
        <v>1009.62</v>
      </c>
      <c r="AF22" s="8">
        <f>VLOOKUP(S22,Data!$H$22:$I$25,2,FALSE)*AE22</f>
        <v>1009.62</v>
      </c>
      <c r="AG22" s="8" t="s">
        <v>178</v>
      </c>
      <c r="AH22" s="23">
        <v>2.1000000000000001E-2</v>
      </c>
      <c r="AI22" s="72"/>
      <c r="AJ22" s="159">
        <f t="shared" si="10"/>
        <v>2.1000000000000001E-2</v>
      </c>
      <c r="AK22" s="168">
        <f t="shared" si="43"/>
        <v>706.73400000000004</v>
      </c>
      <c r="AL22" s="160">
        <f t="shared" si="44"/>
        <v>706.73400000000004</v>
      </c>
      <c r="AM22" s="168">
        <f t="shared" si="11"/>
        <v>34360.733999999997</v>
      </c>
      <c r="AN22" s="160">
        <f t="shared" si="12"/>
        <v>34360.733999999997</v>
      </c>
      <c r="AO22" s="160" t="str">
        <f t="shared" si="45"/>
        <v>No</v>
      </c>
      <c r="AP22" s="146">
        <f>IF(AQ22=0,0,AQ22/VLOOKUP(S22,Data!$H$22:$I$25,2,FALSE))</f>
        <v>0</v>
      </c>
      <c r="AQ22" s="183">
        <f t="shared" si="13"/>
        <v>0</v>
      </c>
      <c r="AR22" s="165">
        <f t="shared" si="14"/>
        <v>706.73400000000004</v>
      </c>
      <c r="AS22" s="183">
        <f t="shared" si="15"/>
        <v>706.73400000000004</v>
      </c>
      <c r="AT22" s="250">
        <f t="shared" si="16"/>
        <v>2.1000000000000001E-2</v>
      </c>
      <c r="AU22" s="146">
        <f t="shared" si="17"/>
        <v>34360.733999999997</v>
      </c>
      <c r="AV22" s="8">
        <f t="shared" si="18"/>
        <v>34360.733999999997</v>
      </c>
      <c r="AW22" s="8" t="str">
        <f t="shared" si="19"/>
        <v/>
      </c>
      <c r="AX22" s="180">
        <f t="shared" si="20"/>
        <v>0.97893829059829052</v>
      </c>
      <c r="AY22" s="146">
        <f t="shared" si="21"/>
        <v>0</v>
      </c>
      <c r="AZ22" s="146">
        <f t="shared" si="22"/>
        <v>0</v>
      </c>
      <c r="BA22" s="22" t="s">
        <v>159</v>
      </c>
      <c r="BB22" s="149"/>
      <c r="BC22" s="149"/>
      <c r="BD22" s="144"/>
      <c r="BE22" s="146" t="str">
        <f t="shared" si="23"/>
        <v/>
      </c>
      <c r="BF22" s="8" t="str">
        <f t="shared" si="24"/>
        <v/>
      </c>
      <c r="BG22" s="8" t="str">
        <f>IF(LEN(BC22)&gt;0,VLOOKUP(BC22,'Job Codes'!B15:I133,7,FALSE),"")</f>
        <v/>
      </c>
      <c r="BH22" s="192" t="str">
        <f>IF(LEN(BC22)&gt;0,VLOOKUP(BC22,'Job Codes'!B15:I133,8,FALSE),"")</f>
        <v/>
      </c>
      <c r="BI22" s="192" t="str">
        <f>IF(LEN(BC22)&gt;0,VLOOKUP(BC22,'Job Codes'!$B$2:$J$120,9,FALSE),"")</f>
        <v/>
      </c>
      <c r="BJ22" s="146" t="str">
        <f>IF(LEN(BC22)&gt;0,VLOOKUP(BC22,'Job Codes'!$B$2:$I$120,4,FALSE),"")</f>
        <v/>
      </c>
      <c r="BK22" s="146" t="str">
        <f>IF(LEN(BC22)&gt;0,VLOOKUP(BC22,'Job Codes'!$B$2:$I$120,5,FALSE),"")</f>
        <v/>
      </c>
      <c r="BL22" s="146" t="str">
        <f>IF(LEN(BC22)&gt;0,VLOOKUP(BC22,'Job Codes'!$B$2:$I$120,6,FALSE),"")</f>
        <v/>
      </c>
      <c r="BM22" s="168">
        <f t="shared" si="25"/>
        <v>34360.733999999997</v>
      </c>
      <c r="BN22" s="160">
        <f t="shared" si="26"/>
        <v>34360.733999999997</v>
      </c>
      <c r="BO22" s="22" t="s">
        <v>157</v>
      </c>
      <c r="BP22" s="157">
        <f>VLOOKUP(I22,'Job Codes'!$B$2:$I$120,8,FALSE)</f>
        <v>0.05</v>
      </c>
      <c r="BQ22" s="25" t="str">
        <f>IF(O22&gt;Data!$H$33,"Yes","No")</f>
        <v>No</v>
      </c>
      <c r="BR22" s="191">
        <v>0.05</v>
      </c>
      <c r="BS22" s="150">
        <f t="shared" si="27"/>
        <v>1682.7</v>
      </c>
      <c r="BT22" s="25">
        <f t="shared" si="28"/>
        <v>1682.7</v>
      </c>
      <c r="BU22" s="161">
        <v>1</v>
      </c>
      <c r="BV22" s="168">
        <f t="shared" si="29"/>
        <v>1682.7</v>
      </c>
      <c r="BW22" s="160">
        <f t="shared" si="30"/>
        <v>1682.7</v>
      </c>
      <c r="BX22" s="149"/>
      <c r="BY22" s="32">
        <f t="shared" si="31"/>
        <v>0</v>
      </c>
      <c r="BZ22" s="22" t="s">
        <v>159</v>
      </c>
      <c r="CA22" s="231">
        <f>VLOOKUP(I22,'Job Codes'!$B$2:$J$120,9,FALSE)</f>
        <v>0</v>
      </c>
      <c r="CB22" s="253">
        <f t="shared" si="32"/>
        <v>0</v>
      </c>
      <c r="CC22" s="72"/>
      <c r="CD22" s="25" t="str">
        <f t="shared" si="33"/>
        <v>Meets</v>
      </c>
      <c r="CE22" s="27" t="s">
        <v>160</v>
      </c>
      <c r="CF22" s="27"/>
      <c r="CG22" s="27"/>
      <c r="CH22" s="27"/>
      <c r="CI22" s="27"/>
      <c r="CJ22" s="3">
        <v>11308</v>
      </c>
      <c r="CK22" s="3" t="s">
        <v>154</v>
      </c>
      <c r="CL22" s="3">
        <v>4569</v>
      </c>
      <c r="CM22" s="3" t="s">
        <v>161</v>
      </c>
      <c r="CN22" s="3">
        <v>4571</v>
      </c>
      <c r="CO22" s="3" t="s">
        <v>162</v>
      </c>
      <c r="CP22" s="3">
        <v>12345</v>
      </c>
      <c r="CQ22" s="3" t="s">
        <v>163</v>
      </c>
      <c r="CR22" s="246" t="s">
        <v>179</v>
      </c>
      <c r="CS22" s="247" t="s">
        <v>180</v>
      </c>
      <c r="CT22" s="246" t="s">
        <v>166</v>
      </c>
      <c r="CU22" s="247" t="s">
        <v>167</v>
      </c>
      <c r="CV22" s="3" t="str">
        <f t="shared" si="34"/>
        <v>90876;99485</v>
      </c>
      <c r="CW22" s="3" t="s">
        <v>168</v>
      </c>
      <c r="CX22" s="3" t="str">
        <f t="shared" si="35"/>
        <v>AB22;;BB22:BD22;;CC22</v>
      </c>
      <c r="CY22" s="5" t="str">
        <f t="shared" si="36"/>
        <v>Lock</v>
      </c>
      <c r="CZ22" s="5" t="str">
        <f t="shared" si="37"/>
        <v>Unlock</v>
      </c>
      <c r="DA22" s="5" t="str">
        <f t="shared" si="38"/>
        <v>Lock</v>
      </c>
      <c r="DB22" s="5" t="str">
        <f t="shared" si="39"/>
        <v>Lock</v>
      </c>
      <c r="DC22" s="5" t="str">
        <f t="shared" si="40"/>
        <v>Lock</v>
      </c>
      <c r="DD22" s="78">
        <f t="shared" si="41"/>
        <v>2</v>
      </c>
      <c r="DE22" s="2"/>
      <c r="DF22" s="2"/>
      <c r="DG22" s="2"/>
      <c r="DH22" s="2"/>
      <c r="DI22" s="2"/>
      <c r="DJ22" s="2"/>
      <c r="DK22" s="5"/>
      <c r="DL22" s="2"/>
      <c r="DM22" s="2"/>
      <c r="DN22" s="2"/>
      <c r="DO22" s="2"/>
      <c r="DP22" s="2"/>
      <c r="DQ22" s="2"/>
      <c r="DR22" s="2"/>
      <c r="DS22" s="2"/>
      <c r="DT22" s="2"/>
      <c r="DU22" s="2"/>
      <c r="DV22" s="2"/>
      <c r="DW22" s="2"/>
      <c r="DX22" s="2"/>
      <c r="DY22" s="2"/>
      <c r="DZ22" s="2"/>
      <c r="EA22" s="2"/>
      <c r="EB22" s="2"/>
      <c r="EC22" s="2"/>
      <c r="ED22" s="2"/>
      <c r="EE22" s="2"/>
      <c r="EF22" s="1"/>
      <c r="EG22" s="98"/>
      <c r="EH22" s="98"/>
      <c r="EI22" s="1"/>
      <c r="EJ22" s="1"/>
      <c r="EK22" s="98"/>
      <c r="EL22" s="1"/>
    </row>
    <row r="23" spans="1:142">
      <c r="A23" s="32">
        <f t="shared" si="0"/>
        <v>1663</v>
      </c>
      <c r="B23" s="3" t="str">
        <f t="shared" si="1"/>
        <v>sv_statement//Statement//Export Statement&amp;PDFID=Ernest Stauffer_1663&amp;SO=Y</v>
      </c>
      <c r="C23" s="5" t="str">
        <f t="shared" si="42"/>
        <v>Statement</v>
      </c>
      <c r="D23" s="5" t="str">
        <f t="shared" si="2"/>
        <v>Ernest Stauffer_1663</v>
      </c>
      <c r="E23" s="5"/>
      <c r="F23" s="5">
        <v>1663</v>
      </c>
      <c r="G23" s="22" t="s">
        <v>207</v>
      </c>
      <c r="H23" s="5" t="s">
        <v>150</v>
      </c>
      <c r="I23" s="5" t="s">
        <v>170</v>
      </c>
      <c r="J23" s="5" t="s">
        <v>208</v>
      </c>
      <c r="K23" s="5" t="s">
        <v>209</v>
      </c>
      <c r="L23" s="31">
        <f t="shared" si="3"/>
        <v>11277</v>
      </c>
      <c r="M23" s="5" t="s">
        <v>203</v>
      </c>
      <c r="N23" s="22" t="s">
        <v>155</v>
      </c>
      <c r="O23" s="100">
        <v>37305</v>
      </c>
      <c r="P23" s="146">
        <f>VLOOKUP(I23,'Job Codes'!$B$2:$I$120,4,FALSE)</f>
        <v>20000</v>
      </c>
      <c r="Q23" s="146">
        <f>VLOOKUP(I23,'Job Codes'!$B$2:$I$120,5,FALSE)</f>
        <v>26000</v>
      </c>
      <c r="R23" s="146">
        <f>VLOOKUP(I23,'Job Codes'!$B$2:$I$120,6,FALSE)</f>
        <v>31200</v>
      </c>
      <c r="S23" s="22" t="s">
        <v>171</v>
      </c>
      <c r="T23" s="146">
        <v>25000</v>
      </c>
      <c r="U23" s="8">
        <f>VLOOKUP(S23,Data!$H$22:$I$25,2,FALSE)*T23</f>
        <v>25000</v>
      </c>
      <c r="V23" s="180">
        <f t="shared" si="4"/>
        <v>0.96153846153846156</v>
      </c>
      <c r="W23" s="180">
        <f t="shared" si="5"/>
        <v>0.04</v>
      </c>
      <c r="X23" s="22" t="str">
        <f t="shared" si="6"/>
        <v>No</v>
      </c>
      <c r="Y23" s="180">
        <f t="shared" si="7"/>
        <v>0</v>
      </c>
      <c r="Z23" s="146">
        <f t="shared" si="8"/>
        <v>0</v>
      </c>
      <c r="AA23" s="146">
        <f t="shared" si="9"/>
        <v>0</v>
      </c>
      <c r="AB23" s="72"/>
      <c r="AC23" s="146">
        <f>AB23/VLOOKUP(S23,Data!$H$22:$I$25,2,FALSE)</f>
        <v>0</v>
      </c>
      <c r="AD23" s="22" t="s">
        <v>157</v>
      </c>
      <c r="AE23" s="146">
        <f>VLOOKUP(S23,Data!$H$22:$J$25,3,FALSE)*T23</f>
        <v>750</v>
      </c>
      <c r="AF23" s="8">
        <f>VLOOKUP(S23,Data!$H$22:$I$25,2,FALSE)*AE23</f>
        <v>750</v>
      </c>
      <c r="AG23" s="8" t="s">
        <v>178</v>
      </c>
      <c r="AH23" s="23">
        <v>2.5000000000000001E-2</v>
      </c>
      <c r="AI23" s="72"/>
      <c r="AJ23" s="159">
        <f t="shared" si="10"/>
        <v>2.5000000000000001E-2</v>
      </c>
      <c r="AK23" s="168">
        <f t="shared" si="43"/>
        <v>625</v>
      </c>
      <c r="AL23" s="160">
        <f t="shared" si="44"/>
        <v>625</v>
      </c>
      <c r="AM23" s="168">
        <f t="shared" si="11"/>
        <v>25625</v>
      </c>
      <c r="AN23" s="160">
        <f t="shared" si="12"/>
        <v>25625</v>
      </c>
      <c r="AO23" s="160" t="str">
        <f t="shared" si="45"/>
        <v>No</v>
      </c>
      <c r="AP23" s="146">
        <f>IF(AQ23=0,0,AQ23/VLOOKUP(S23,Data!$H$22:$I$25,2,FALSE))</f>
        <v>0</v>
      </c>
      <c r="AQ23" s="183">
        <f t="shared" si="13"/>
        <v>0</v>
      </c>
      <c r="AR23" s="165">
        <f t="shared" si="14"/>
        <v>625</v>
      </c>
      <c r="AS23" s="183">
        <f t="shared" si="15"/>
        <v>625</v>
      </c>
      <c r="AT23" s="250">
        <f t="shared" si="16"/>
        <v>2.5000000000000001E-2</v>
      </c>
      <c r="AU23" s="146">
        <f t="shared" si="17"/>
        <v>25625</v>
      </c>
      <c r="AV23" s="8">
        <f t="shared" si="18"/>
        <v>25625</v>
      </c>
      <c r="AW23" s="8" t="str">
        <f t="shared" si="19"/>
        <v/>
      </c>
      <c r="AX23" s="180">
        <f t="shared" si="20"/>
        <v>0.98557692307692313</v>
      </c>
      <c r="AY23" s="146">
        <f t="shared" si="21"/>
        <v>0</v>
      </c>
      <c r="AZ23" s="146">
        <f t="shared" si="22"/>
        <v>0</v>
      </c>
      <c r="BA23" s="22" t="s">
        <v>157</v>
      </c>
      <c r="BB23" s="149"/>
      <c r="BC23" s="149"/>
      <c r="BD23" s="144"/>
      <c r="BE23" s="146" t="str">
        <f t="shared" si="23"/>
        <v/>
      </c>
      <c r="BF23" s="8" t="str">
        <f t="shared" si="24"/>
        <v/>
      </c>
      <c r="BG23" s="8" t="str">
        <f>IF(LEN(BC23)&gt;0,VLOOKUP(BC23,'Job Codes'!B16:I134,7,FALSE),"")</f>
        <v/>
      </c>
      <c r="BH23" s="192" t="str">
        <f>IF(LEN(BC23)&gt;0,VLOOKUP(BC23,'Job Codes'!B16:I134,8,FALSE),"")</f>
        <v/>
      </c>
      <c r="BI23" s="192" t="str">
        <f>IF(LEN(BC23)&gt;0,VLOOKUP(BC23,'Job Codes'!$B$2:$J$120,9,FALSE),"")</f>
        <v/>
      </c>
      <c r="BJ23" s="146" t="str">
        <f>IF(LEN(BC23)&gt;0,VLOOKUP(BC23,'Job Codes'!$B$2:$I$120,4,FALSE),"")</f>
        <v/>
      </c>
      <c r="BK23" s="146" t="str">
        <f>IF(LEN(BC23)&gt;0,VLOOKUP(BC23,'Job Codes'!$B$2:$I$120,5,FALSE),"")</f>
        <v/>
      </c>
      <c r="BL23" s="146" t="str">
        <f>IF(LEN(BC23)&gt;0,VLOOKUP(BC23,'Job Codes'!$B$2:$I$120,6,FALSE),"")</f>
        <v/>
      </c>
      <c r="BM23" s="168">
        <f t="shared" si="25"/>
        <v>25625</v>
      </c>
      <c r="BN23" s="160">
        <f t="shared" si="26"/>
        <v>25625</v>
      </c>
      <c r="BO23" s="22" t="s">
        <v>159</v>
      </c>
      <c r="BP23" s="157">
        <f>VLOOKUP(I23,'Job Codes'!$B$2:$I$120,8,FALSE)</f>
        <v>0</v>
      </c>
      <c r="BQ23" s="25" t="str">
        <f>IF(O23&gt;Data!$H$33,"Yes","No")</f>
        <v>No</v>
      </c>
      <c r="BR23" s="191">
        <v>0</v>
      </c>
      <c r="BS23" s="150">
        <f t="shared" si="27"/>
        <v>0</v>
      </c>
      <c r="BT23" s="25">
        <f t="shared" si="28"/>
        <v>0</v>
      </c>
      <c r="BU23" s="161">
        <v>1</v>
      </c>
      <c r="BV23" s="168">
        <f t="shared" si="29"/>
        <v>0</v>
      </c>
      <c r="BW23" s="160">
        <f t="shared" si="30"/>
        <v>0</v>
      </c>
      <c r="BX23" s="149"/>
      <c r="BY23" s="32">
        <f t="shared" si="31"/>
        <v>0</v>
      </c>
      <c r="BZ23" s="22" t="s">
        <v>159</v>
      </c>
      <c r="CA23" s="231">
        <f>VLOOKUP(I23,'Job Codes'!$B$2:$J$120,9,FALSE)</f>
        <v>0</v>
      </c>
      <c r="CB23" s="253">
        <f t="shared" si="32"/>
        <v>0</v>
      </c>
      <c r="CC23" s="72"/>
      <c r="CD23" s="25" t="str">
        <f t="shared" si="33"/>
        <v>Meets</v>
      </c>
      <c r="CE23" s="27" t="s">
        <v>160</v>
      </c>
      <c r="CF23" s="27"/>
      <c r="CG23" s="27"/>
      <c r="CH23" s="27"/>
      <c r="CI23" s="27"/>
      <c r="CJ23" s="3">
        <v>11308</v>
      </c>
      <c r="CK23" s="3" t="s">
        <v>154</v>
      </c>
      <c r="CL23" s="3">
        <v>4569</v>
      </c>
      <c r="CM23" s="3" t="s">
        <v>161</v>
      </c>
      <c r="CN23" s="3">
        <v>4571</v>
      </c>
      <c r="CO23" s="3" t="s">
        <v>162</v>
      </c>
      <c r="CP23" s="3">
        <v>12345</v>
      </c>
      <c r="CQ23" s="3" t="s">
        <v>163</v>
      </c>
      <c r="CR23" s="246" t="s">
        <v>179</v>
      </c>
      <c r="CS23" s="247" t="s">
        <v>180</v>
      </c>
      <c r="CT23" s="246" t="s">
        <v>166</v>
      </c>
      <c r="CU23" s="247" t="s">
        <v>167</v>
      </c>
      <c r="CV23" s="3" t="str">
        <f t="shared" si="34"/>
        <v>90876;99485</v>
      </c>
      <c r="CW23" s="3" t="s">
        <v>168</v>
      </c>
      <c r="CX23" s="3" t="str">
        <f t="shared" si="35"/>
        <v>AB23;;;BU23;BX23</v>
      </c>
      <c r="CY23" s="5" t="str">
        <f t="shared" si="36"/>
        <v>Lock</v>
      </c>
      <c r="CZ23" s="5" t="str">
        <f t="shared" si="37"/>
        <v>Unlock</v>
      </c>
      <c r="DA23" s="5" t="str">
        <f t="shared" si="38"/>
        <v>Lock</v>
      </c>
      <c r="DB23" s="5" t="str">
        <f t="shared" si="39"/>
        <v>Lock</v>
      </c>
      <c r="DC23" s="5" t="str">
        <f t="shared" si="40"/>
        <v>Lock</v>
      </c>
      <c r="DD23" s="78">
        <f t="shared" si="41"/>
        <v>2</v>
      </c>
      <c r="DE23" s="2"/>
      <c r="DF23" s="2"/>
      <c r="DG23" s="2"/>
      <c r="DH23" s="2"/>
      <c r="DI23" s="2"/>
      <c r="DJ23" s="2"/>
      <c r="DK23" s="5"/>
      <c r="DL23" s="2"/>
      <c r="DM23" s="2"/>
      <c r="DN23" s="2"/>
      <c r="DO23" s="2"/>
      <c r="DP23" s="2"/>
      <c r="DQ23" s="2"/>
      <c r="DR23" s="2"/>
      <c r="DS23" s="2"/>
      <c r="DT23" s="2"/>
      <c r="DU23" s="2"/>
      <c r="DV23" s="2"/>
      <c r="DW23" s="2"/>
      <c r="DX23" s="2"/>
      <c r="DY23" s="2"/>
      <c r="DZ23" s="2"/>
      <c r="EA23" s="2"/>
      <c r="EB23" s="2"/>
      <c r="EC23" s="2"/>
      <c r="ED23" s="2"/>
      <c r="EE23" s="2"/>
      <c r="EF23" s="1"/>
      <c r="EG23" s="98"/>
      <c r="EH23" s="98"/>
      <c r="EI23" s="1"/>
      <c r="EJ23" s="1"/>
      <c r="EK23" s="98"/>
      <c r="EL23" s="1"/>
    </row>
    <row r="24" spans="1:142">
      <c r="A24" s="32">
        <f t="shared" si="0"/>
        <v>1671</v>
      </c>
      <c r="B24" s="3" t="str">
        <f t="shared" si="1"/>
        <v>sv_statement//Statement//Export Statement&amp;PDFID=Johnny Shay_1671&amp;SO=Y</v>
      </c>
      <c r="C24" s="5" t="str">
        <f t="shared" si="42"/>
        <v>Statement</v>
      </c>
      <c r="D24" s="5" t="str">
        <f t="shared" si="2"/>
        <v>Johnny Shay_1671</v>
      </c>
      <c r="E24" s="5"/>
      <c r="F24" s="5">
        <v>1671</v>
      </c>
      <c r="G24" s="22" t="s">
        <v>210</v>
      </c>
      <c r="H24" s="5" t="s">
        <v>150</v>
      </c>
      <c r="I24" s="5" t="s">
        <v>186</v>
      </c>
      <c r="J24" s="5" t="s">
        <v>208</v>
      </c>
      <c r="K24" s="5" t="s">
        <v>211</v>
      </c>
      <c r="L24" s="31">
        <f t="shared" si="3"/>
        <v>11308</v>
      </c>
      <c r="M24" s="5" t="s">
        <v>154</v>
      </c>
      <c r="N24" s="22" t="s">
        <v>155</v>
      </c>
      <c r="O24" s="100">
        <v>36780</v>
      </c>
      <c r="P24" s="146">
        <f>VLOOKUP(I24,'Job Codes'!$B$2:$I$120,4,FALSE)</f>
        <v>26500</v>
      </c>
      <c r="Q24" s="146">
        <f>VLOOKUP(I24,'Job Codes'!$B$2:$I$120,5,FALSE)</f>
        <v>34450</v>
      </c>
      <c r="R24" s="146">
        <f>VLOOKUP(I24,'Job Codes'!$B$2:$I$120,6,FALSE)</f>
        <v>41340</v>
      </c>
      <c r="S24" s="22" t="s">
        <v>171</v>
      </c>
      <c r="T24" s="146">
        <v>26894</v>
      </c>
      <c r="U24" s="8">
        <f>VLOOKUP(S24,Data!$H$22:$I$25,2,FALSE)*T24</f>
        <v>26894</v>
      </c>
      <c r="V24" s="180">
        <f t="shared" si="4"/>
        <v>0.78066763425253993</v>
      </c>
      <c r="W24" s="180">
        <f t="shared" si="5"/>
        <v>0.28095485982003421</v>
      </c>
      <c r="X24" s="22" t="str">
        <f t="shared" si="6"/>
        <v>Yes</v>
      </c>
      <c r="Y24" s="180">
        <f t="shared" si="7"/>
        <v>0.02</v>
      </c>
      <c r="Z24" s="146">
        <f t="shared" si="8"/>
        <v>537.88</v>
      </c>
      <c r="AA24" s="146">
        <f t="shared" si="9"/>
        <v>537.88</v>
      </c>
      <c r="AB24" s="72"/>
      <c r="AC24" s="146">
        <f>AB24/VLOOKUP(S24,Data!$H$22:$I$25,2,FALSE)</f>
        <v>0</v>
      </c>
      <c r="AD24" s="22" t="s">
        <v>157</v>
      </c>
      <c r="AE24" s="146">
        <f>VLOOKUP(S24,Data!$H$22:$J$25,3,FALSE)*T24</f>
        <v>806.81999999999994</v>
      </c>
      <c r="AF24" s="8">
        <f>VLOOKUP(S24,Data!$H$22:$I$25,2,FALSE)*AE24</f>
        <v>806.81999999999994</v>
      </c>
      <c r="AG24" s="8" t="s">
        <v>178</v>
      </c>
      <c r="AH24" s="23"/>
      <c r="AI24" s="72"/>
      <c r="AJ24" s="159">
        <f t="shared" si="10"/>
        <v>0</v>
      </c>
      <c r="AK24" s="168">
        <f t="shared" si="43"/>
        <v>0</v>
      </c>
      <c r="AL24" s="160">
        <f t="shared" si="44"/>
        <v>0</v>
      </c>
      <c r="AM24" s="168">
        <f t="shared" si="11"/>
        <v>26894</v>
      </c>
      <c r="AN24" s="160">
        <f t="shared" si="12"/>
        <v>26894</v>
      </c>
      <c r="AO24" s="160" t="str">
        <f t="shared" si="45"/>
        <v>No</v>
      </c>
      <c r="AP24" s="146">
        <f>IF(AQ24=0,0,AQ24/VLOOKUP(S24,Data!$H$22:$I$25,2,FALSE))</f>
        <v>0</v>
      </c>
      <c r="AQ24" s="183">
        <f t="shared" si="13"/>
        <v>0</v>
      </c>
      <c r="AR24" s="165">
        <f t="shared" si="14"/>
        <v>0</v>
      </c>
      <c r="AS24" s="183">
        <f t="shared" si="15"/>
        <v>0</v>
      </c>
      <c r="AT24" s="250">
        <f t="shared" si="16"/>
        <v>0</v>
      </c>
      <c r="AU24" s="146">
        <f t="shared" si="17"/>
        <v>26894</v>
      </c>
      <c r="AV24" s="8">
        <f t="shared" si="18"/>
        <v>26894</v>
      </c>
      <c r="AW24" s="8" t="str">
        <f t="shared" si="19"/>
        <v>Not within guidelines</v>
      </c>
      <c r="AX24" s="180">
        <f t="shared" si="20"/>
        <v>0.78066763425253993</v>
      </c>
      <c r="AY24" s="146">
        <f t="shared" si="21"/>
        <v>1</v>
      </c>
      <c r="AZ24" s="146">
        <f t="shared" si="22"/>
        <v>1</v>
      </c>
      <c r="BA24" s="22" t="s">
        <v>159</v>
      </c>
      <c r="BB24" s="149"/>
      <c r="BC24" s="149"/>
      <c r="BD24" s="144"/>
      <c r="BE24" s="146" t="str">
        <f t="shared" si="23"/>
        <v/>
      </c>
      <c r="BF24" s="8" t="str">
        <f t="shared" si="24"/>
        <v/>
      </c>
      <c r="BG24" s="8" t="str">
        <f>IF(LEN(BC24)&gt;0,VLOOKUP(BC24,'Job Codes'!B17:I135,7,FALSE),"")</f>
        <v/>
      </c>
      <c r="BH24" s="192" t="str">
        <f>IF(LEN(BC24)&gt;0,VLOOKUP(BC24,'Job Codes'!B17:I135,8,FALSE),"")</f>
        <v/>
      </c>
      <c r="BI24" s="192" t="str">
        <f>IF(LEN(BC24)&gt;0,VLOOKUP(BC24,'Job Codes'!$B$2:$J$120,9,FALSE),"")</f>
        <v/>
      </c>
      <c r="BJ24" s="146" t="str">
        <f>IF(LEN(BC24)&gt;0,VLOOKUP(BC24,'Job Codes'!$B$2:$I$120,4,FALSE),"")</f>
        <v/>
      </c>
      <c r="BK24" s="146" t="str">
        <f>IF(LEN(BC24)&gt;0,VLOOKUP(BC24,'Job Codes'!$B$2:$I$120,5,FALSE),"")</f>
        <v/>
      </c>
      <c r="BL24" s="146" t="str">
        <f>IF(LEN(BC24)&gt;0,VLOOKUP(BC24,'Job Codes'!$B$2:$I$120,6,FALSE),"")</f>
        <v/>
      </c>
      <c r="BM24" s="168">
        <f t="shared" si="25"/>
        <v>26894</v>
      </c>
      <c r="BN24" s="160">
        <f t="shared" si="26"/>
        <v>26894</v>
      </c>
      <c r="BO24" s="22" t="s">
        <v>157</v>
      </c>
      <c r="BP24" s="157">
        <f>VLOOKUP(I24,'Job Codes'!$B$2:$I$120,8,FALSE)</f>
        <v>0.05</v>
      </c>
      <c r="BQ24" s="25" t="str">
        <f>IF(O24&gt;Data!$H$33,"Yes","No")</f>
        <v>No</v>
      </c>
      <c r="BR24" s="191">
        <v>0.05</v>
      </c>
      <c r="BS24" s="150">
        <f t="shared" si="27"/>
        <v>1344.7</v>
      </c>
      <c r="BT24" s="25">
        <f t="shared" si="28"/>
        <v>1344.7</v>
      </c>
      <c r="BU24" s="161">
        <v>1.01</v>
      </c>
      <c r="BV24" s="168">
        <f t="shared" si="29"/>
        <v>1358.1470000000002</v>
      </c>
      <c r="BW24" s="160">
        <f t="shared" si="30"/>
        <v>1358.1470000000002</v>
      </c>
      <c r="BX24" s="149" t="s">
        <v>212</v>
      </c>
      <c r="BY24" s="32">
        <f t="shared" si="31"/>
        <v>0</v>
      </c>
      <c r="BZ24" s="22" t="s">
        <v>159</v>
      </c>
      <c r="CA24" s="231">
        <f>VLOOKUP(I24,'Job Codes'!$B$2:$J$120,9,FALSE)</f>
        <v>0</v>
      </c>
      <c r="CB24" s="253">
        <f t="shared" si="32"/>
        <v>0</v>
      </c>
      <c r="CC24" s="72"/>
      <c r="CD24" s="25" t="str">
        <f t="shared" si="33"/>
        <v>Meets</v>
      </c>
      <c r="CE24" s="27"/>
      <c r="CF24" s="27"/>
      <c r="CG24" s="27"/>
      <c r="CH24" s="27"/>
      <c r="CI24" s="27"/>
      <c r="CJ24" s="3"/>
      <c r="CK24" s="3"/>
      <c r="CL24" s="3">
        <v>4569</v>
      </c>
      <c r="CM24" s="3" t="s">
        <v>161</v>
      </c>
      <c r="CN24" s="3">
        <v>4571</v>
      </c>
      <c r="CO24" s="3" t="s">
        <v>162</v>
      </c>
      <c r="CP24" s="3">
        <v>12345</v>
      </c>
      <c r="CQ24" s="3" t="s">
        <v>163</v>
      </c>
      <c r="CR24" s="246" t="s">
        <v>164</v>
      </c>
      <c r="CS24" s="247" t="s">
        <v>165</v>
      </c>
      <c r="CT24" s="246" t="s">
        <v>166</v>
      </c>
      <c r="CU24" s="247" t="s">
        <v>167</v>
      </c>
      <c r="CV24" s="3" t="str">
        <f t="shared" si="34"/>
        <v>67890;99485</v>
      </c>
      <c r="CW24" s="3" t="s">
        <v>168</v>
      </c>
      <c r="CX24" s="3" t="str">
        <f t="shared" si="35"/>
        <v>;;BB24:BD24;;CC24</v>
      </c>
      <c r="CY24" s="5" t="str">
        <f t="shared" si="36"/>
        <v>Unlock</v>
      </c>
      <c r="CZ24" s="5" t="str">
        <f t="shared" si="37"/>
        <v>Lock</v>
      </c>
      <c r="DA24" s="5" t="str">
        <f t="shared" si="38"/>
        <v>Lock</v>
      </c>
      <c r="DB24" s="5" t="str">
        <f t="shared" si="39"/>
        <v>Lock</v>
      </c>
      <c r="DC24" s="5" t="str">
        <f t="shared" si="40"/>
        <v>Lock</v>
      </c>
      <c r="DD24" s="78">
        <f t="shared" si="41"/>
        <v>3</v>
      </c>
      <c r="DE24" s="2"/>
      <c r="DF24" s="2"/>
      <c r="DG24" s="2"/>
      <c r="DH24" s="2"/>
      <c r="DI24" s="2"/>
      <c r="DJ24" s="2"/>
      <c r="DK24" s="5"/>
      <c r="DL24" s="2"/>
      <c r="DM24" s="2"/>
      <c r="DN24" s="2"/>
      <c r="DO24" s="2"/>
      <c r="DP24" s="2"/>
      <c r="DQ24" s="2"/>
      <c r="DR24" s="2"/>
      <c r="DS24" s="2"/>
      <c r="DT24" s="2"/>
      <c r="DU24" s="2"/>
      <c r="DV24" s="2"/>
      <c r="DW24" s="2"/>
      <c r="DX24" s="2"/>
      <c r="DY24" s="2"/>
      <c r="DZ24" s="2"/>
      <c r="EA24" s="2"/>
      <c r="EB24" s="2"/>
      <c r="EC24" s="2"/>
      <c r="ED24" s="2"/>
      <c r="EE24" s="2"/>
      <c r="EF24" s="1"/>
      <c r="EG24" s="98"/>
      <c r="EH24" s="98"/>
      <c r="EI24" s="1"/>
      <c r="EJ24" s="1"/>
      <c r="EK24" s="98"/>
      <c r="EL24" s="1"/>
    </row>
    <row r="25" spans="1:142">
      <c r="A25" s="32">
        <f t="shared" si="0"/>
        <v>1833</v>
      </c>
      <c r="B25" s="3" t="str">
        <f t="shared" si="1"/>
        <v>sv_statement//Statement//Export Statement&amp;PDFID=Stella Sherlock_1833&amp;SO=Y</v>
      </c>
      <c r="C25" s="5" t="str">
        <f t="shared" si="42"/>
        <v>Statement</v>
      </c>
      <c r="D25" s="5" t="str">
        <f t="shared" si="2"/>
        <v>Stella Sherlock_1833</v>
      </c>
      <c r="E25" s="5"/>
      <c r="F25" s="5">
        <v>1833</v>
      </c>
      <c r="G25" s="22" t="s">
        <v>213</v>
      </c>
      <c r="H25" s="5" t="s">
        <v>214</v>
      </c>
      <c r="I25" s="5" t="s">
        <v>215</v>
      </c>
      <c r="J25" s="5" t="s">
        <v>208</v>
      </c>
      <c r="K25" s="5" t="s">
        <v>211</v>
      </c>
      <c r="L25" s="31">
        <f t="shared" si="3"/>
        <v>20714</v>
      </c>
      <c r="M25" s="5" t="s">
        <v>198</v>
      </c>
      <c r="N25" s="22" t="s">
        <v>155</v>
      </c>
      <c r="O25" s="100">
        <v>36893</v>
      </c>
      <c r="P25" s="146">
        <f>VLOOKUP(I25,'Job Codes'!$B$2:$I$120,4,FALSE)</f>
        <v>27000</v>
      </c>
      <c r="Q25" s="146">
        <f>VLOOKUP(I25,'Job Codes'!$B$2:$I$120,5,FALSE)</f>
        <v>35100</v>
      </c>
      <c r="R25" s="146">
        <f>VLOOKUP(I25,'Job Codes'!$B$2:$I$120,6,FALSE)</f>
        <v>42120</v>
      </c>
      <c r="S25" s="22" t="s">
        <v>156</v>
      </c>
      <c r="T25" s="146">
        <v>55000</v>
      </c>
      <c r="U25" s="8">
        <f>VLOOKUP(S25,Data!$H$22:$I$25,2,FALSE)*T25</f>
        <v>37015</v>
      </c>
      <c r="V25" s="180">
        <f t="shared" si="4"/>
        <v>1.0545584045584047</v>
      </c>
      <c r="W25" s="180">
        <f t="shared" si="5"/>
        <v>0</v>
      </c>
      <c r="X25" s="22" t="str">
        <f t="shared" si="6"/>
        <v>No</v>
      </c>
      <c r="Y25" s="180">
        <f t="shared" si="7"/>
        <v>0</v>
      </c>
      <c r="Z25" s="146">
        <f t="shared" si="8"/>
        <v>0</v>
      </c>
      <c r="AA25" s="146">
        <f t="shared" si="9"/>
        <v>0</v>
      </c>
      <c r="AB25" s="72"/>
      <c r="AC25" s="146">
        <f>AB25/VLOOKUP(S25,Data!$H$22:$I$25,2,FALSE)</f>
        <v>0</v>
      </c>
      <c r="AD25" s="22" t="s">
        <v>157</v>
      </c>
      <c r="AE25" s="146">
        <f>VLOOKUP(S25,Data!$H$22:$J$25,3,FALSE)*T25</f>
        <v>1925.0000000000002</v>
      </c>
      <c r="AF25" s="8">
        <f>VLOOKUP(S25,Data!$H$22:$I$25,2,FALSE)*AE25</f>
        <v>1295.5250000000003</v>
      </c>
      <c r="AG25" s="8" t="s">
        <v>158</v>
      </c>
      <c r="AH25" s="23">
        <v>0.06</v>
      </c>
      <c r="AI25" s="72"/>
      <c r="AJ25" s="159">
        <f t="shared" si="10"/>
        <v>6.0000000000000005E-2</v>
      </c>
      <c r="AK25" s="168">
        <f t="shared" si="43"/>
        <v>3300.0000000000005</v>
      </c>
      <c r="AL25" s="160">
        <f t="shared" si="44"/>
        <v>2220.9</v>
      </c>
      <c r="AM25" s="168">
        <f t="shared" si="11"/>
        <v>58300</v>
      </c>
      <c r="AN25" s="160">
        <f t="shared" si="12"/>
        <v>39235.9</v>
      </c>
      <c r="AO25" s="160" t="str">
        <f t="shared" si="45"/>
        <v>No</v>
      </c>
      <c r="AP25" s="146">
        <f>IF(AQ25=0,0,AQ25/VLOOKUP(S25,Data!$H$22:$I$25,2,FALSE))</f>
        <v>0</v>
      </c>
      <c r="AQ25" s="183">
        <f t="shared" si="13"/>
        <v>0</v>
      </c>
      <c r="AR25" s="165">
        <f t="shared" si="14"/>
        <v>3300.0000000000005</v>
      </c>
      <c r="AS25" s="183">
        <f t="shared" si="15"/>
        <v>2220.9</v>
      </c>
      <c r="AT25" s="250">
        <f t="shared" si="16"/>
        <v>6.0000000000000005E-2</v>
      </c>
      <c r="AU25" s="146">
        <f t="shared" si="17"/>
        <v>58300</v>
      </c>
      <c r="AV25" s="8">
        <f t="shared" si="18"/>
        <v>39235.9</v>
      </c>
      <c r="AW25" s="8" t="str">
        <f t="shared" si="19"/>
        <v/>
      </c>
      <c r="AX25" s="180">
        <f t="shared" si="20"/>
        <v>1.1178319088319089</v>
      </c>
      <c r="AY25" s="146">
        <f t="shared" si="21"/>
        <v>0</v>
      </c>
      <c r="AZ25" s="146">
        <f t="shared" si="22"/>
        <v>0</v>
      </c>
      <c r="BA25" s="22" t="s">
        <v>159</v>
      </c>
      <c r="BB25" s="149"/>
      <c r="BC25" s="149"/>
      <c r="BD25" s="144"/>
      <c r="BE25" s="146" t="str">
        <f t="shared" si="23"/>
        <v/>
      </c>
      <c r="BF25" s="8" t="str">
        <f t="shared" si="24"/>
        <v/>
      </c>
      <c r="BG25" s="8" t="str">
        <f>IF(LEN(BC25)&gt;0,VLOOKUP(BC25,'Job Codes'!B18:I136,7,FALSE),"")</f>
        <v/>
      </c>
      <c r="BH25" s="192" t="str">
        <f>IF(LEN(BC25)&gt;0,VLOOKUP(BC25,'Job Codes'!B18:I136,8,FALSE),"")</f>
        <v/>
      </c>
      <c r="BI25" s="192" t="str">
        <f>IF(LEN(BC25)&gt;0,VLOOKUP(BC25,'Job Codes'!$B$2:$J$120,9,FALSE),"")</f>
        <v/>
      </c>
      <c r="BJ25" s="146" t="str">
        <f>IF(LEN(BC25)&gt;0,VLOOKUP(BC25,'Job Codes'!$B$2:$I$120,4,FALSE),"")</f>
        <v/>
      </c>
      <c r="BK25" s="146" t="str">
        <f>IF(LEN(BC25)&gt;0,VLOOKUP(BC25,'Job Codes'!$B$2:$I$120,5,FALSE),"")</f>
        <v/>
      </c>
      <c r="BL25" s="146" t="str">
        <f>IF(LEN(BC25)&gt;0,VLOOKUP(BC25,'Job Codes'!$B$2:$I$120,6,FALSE),"")</f>
        <v/>
      </c>
      <c r="BM25" s="168">
        <f t="shared" si="25"/>
        <v>58300</v>
      </c>
      <c r="BN25" s="160">
        <f t="shared" si="26"/>
        <v>39235.9</v>
      </c>
      <c r="BO25" s="22" t="s">
        <v>157</v>
      </c>
      <c r="BP25" s="157">
        <f>VLOOKUP(I25,'Job Codes'!$B$2:$I$120,8,FALSE)</f>
        <v>0.05</v>
      </c>
      <c r="BQ25" s="25" t="str">
        <f>IF(O25&gt;Data!$H$33,"Yes","No")</f>
        <v>No</v>
      </c>
      <c r="BR25" s="191">
        <v>0.05</v>
      </c>
      <c r="BS25" s="150">
        <f t="shared" si="27"/>
        <v>2750</v>
      </c>
      <c r="BT25" s="25">
        <f t="shared" si="28"/>
        <v>1850.75</v>
      </c>
      <c r="BU25" s="161">
        <v>1</v>
      </c>
      <c r="BV25" s="168">
        <f t="shared" si="29"/>
        <v>2750</v>
      </c>
      <c r="BW25" s="160">
        <f t="shared" si="30"/>
        <v>1850.75</v>
      </c>
      <c r="BX25" s="149"/>
      <c r="BY25" s="32">
        <f t="shared" si="31"/>
        <v>0</v>
      </c>
      <c r="BZ25" s="22" t="s">
        <v>159</v>
      </c>
      <c r="CA25" s="231">
        <f>VLOOKUP(I25,'Job Codes'!$B$2:$J$120,9,FALSE)</f>
        <v>0</v>
      </c>
      <c r="CB25" s="253">
        <f t="shared" si="32"/>
        <v>0</v>
      </c>
      <c r="CC25" s="72"/>
      <c r="CD25" s="25" t="str">
        <f t="shared" si="33"/>
        <v>Exceeds</v>
      </c>
      <c r="CE25" s="27"/>
      <c r="CF25" s="27"/>
      <c r="CG25" s="27"/>
      <c r="CH25" s="27"/>
      <c r="CI25" s="27"/>
      <c r="CJ25" s="3"/>
      <c r="CK25" s="3"/>
      <c r="CL25" s="3">
        <v>4569</v>
      </c>
      <c r="CM25" s="3" t="s">
        <v>161</v>
      </c>
      <c r="CN25" s="3">
        <v>4571</v>
      </c>
      <c r="CO25" s="3" t="s">
        <v>162</v>
      </c>
      <c r="CP25" s="3">
        <v>12345</v>
      </c>
      <c r="CQ25" s="3" t="s">
        <v>163</v>
      </c>
      <c r="CR25" s="246" t="s">
        <v>164</v>
      </c>
      <c r="CS25" s="247" t="s">
        <v>165</v>
      </c>
      <c r="CT25" s="246" t="s">
        <v>166</v>
      </c>
      <c r="CU25" s="247" t="s">
        <v>167</v>
      </c>
      <c r="CV25" s="3" t="str">
        <f t="shared" si="34"/>
        <v>67890;99485</v>
      </c>
      <c r="CW25" s="3" t="s">
        <v>168</v>
      </c>
      <c r="CX25" s="3" t="str">
        <f t="shared" si="35"/>
        <v>AB25;;BB25:BD25;;CC25</v>
      </c>
      <c r="CY25" s="5" t="str">
        <f t="shared" si="36"/>
        <v>Unlock</v>
      </c>
      <c r="CZ25" s="5" t="str">
        <f t="shared" si="37"/>
        <v>Lock</v>
      </c>
      <c r="DA25" s="5" t="str">
        <f t="shared" si="38"/>
        <v>Lock</v>
      </c>
      <c r="DB25" s="5" t="str">
        <f t="shared" si="39"/>
        <v>Lock</v>
      </c>
      <c r="DC25" s="5" t="str">
        <f t="shared" si="40"/>
        <v>Lock</v>
      </c>
      <c r="DD25" s="78">
        <f t="shared" si="41"/>
        <v>3</v>
      </c>
      <c r="DE25" s="2"/>
      <c r="DF25" s="2"/>
      <c r="DG25" s="2"/>
      <c r="DH25" s="2"/>
      <c r="DI25" s="2"/>
      <c r="DJ25" s="2"/>
      <c r="DK25" s="5"/>
      <c r="DL25" s="2"/>
      <c r="DM25" s="2"/>
      <c r="DN25" s="2"/>
      <c r="DO25" s="2"/>
      <c r="DP25" s="2"/>
      <c r="DQ25" s="2"/>
      <c r="DR25" s="2"/>
      <c r="DS25" s="2"/>
      <c r="DT25" s="2"/>
      <c r="DU25" s="2"/>
      <c r="DV25" s="2"/>
      <c r="DW25" s="2"/>
      <c r="DX25" s="2"/>
      <c r="DY25" s="2"/>
      <c r="DZ25" s="2"/>
      <c r="EA25" s="2"/>
      <c r="EB25" s="2"/>
      <c r="EC25" s="2"/>
      <c r="ED25" s="2"/>
      <c r="EE25" s="2"/>
      <c r="EF25" s="1"/>
      <c r="EG25" s="98"/>
      <c r="EH25" s="98"/>
      <c r="EI25" s="1"/>
      <c r="EJ25" s="1"/>
      <c r="EK25" s="98"/>
      <c r="EL25" s="1"/>
    </row>
    <row r="26" spans="1:142">
      <c r="A26" s="32">
        <f t="shared" si="0"/>
        <v>1867</v>
      </c>
      <c r="B26" s="3" t="str">
        <f t="shared" si="1"/>
        <v>sv_statement//Statement//Export Statement&amp;PDFID=Jason Pina_1867&amp;SO=Y</v>
      </c>
      <c r="C26" s="5" t="str">
        <f t="shared" si="42"/>
        <v>Statement</v>
      </c>
      <c r="D26" s="5" t="str">
        <f t="shared" si="2"/>
        <v>Jason Pina_1867</v>
      </c>
      <c r="E26" s="5"/>
      <c r="F26" s="5">
        <v>1867</v>
      </c>
      <c r="G26" s="22" t="s">
        <v>216</v>
      </c>
      <c r="H26" s="5" t="s">
        <v>214</v>
      </c>
      <c r="I26" s="5" t="s">
        <v>217</v>
      </c>
      <c r="J26" s="5" t="s">
        <v>208</v>
      </c>
      <c r="K26" s="5" t="s">
        <v>211</v>
      </c>
      <c r="L26" s="31">
        <f t="shared" si="3"/>
        <v>20714</v>
      </c>
      <c r="M26" s="5" t="s">
        <v>198</v>
      </c>
      <c r="N26" s="22" t="s">
        <v>155</v>
      </c>
      <c r="O26" s="100">
        <v>36913</v>
      </c>
      <c r="P26" s="146">
        <f>VLOOKUP(I26,'Job Codes'!$B$2:$I$120,4,FALSE)</f>
        <v>33000</v>
      </c>
      <c r="Q26" s="146">
        <f>VLOOKUP(I26,'Job Codes'!$B$2:$I$120,5,FALSE)</f>
        <v>42900</v>
      </c>
      <c r="R26" s="146">
        <f>VLOOKUP(I26,'Job Codes'!$B$2:$I$120,6,FALSE)</f>
        <v>51480</v>
      </c>
      <c r="S26" s="22" t="s">
        <v>171</v>
      </c>
      <c r="T26" s="146">
        <v>44283</v>
      </c>
      <c r="U26" s="8">
        <f>VLOOKUP(S26,Data!$H$22:$I$25,2,FALSE)*T26</f>
        <v>44283</v>
      </c>
      <c r="V26" s="180">
        <f t="shared" si="4"/>
        <v>1.0322377622377623</v>
      </c>
      <c r="W26" s="180">
        <f t="shared" si="5"/>
        <v>0</v>
      </c>
      <c r="X26" s="22" t="str">
        <f t="shared" si="6"/>
        <v>No</v>
      </c>
      <c r="Y26" s="180">
        <f t="shared" si="7"/>
        <v>0</v>
      </c>
      <c r="Z26" s="146">
        <f t="shared" si="8"/>
        <v>0</v>
      </c>
      <c r="AA26" s="146">
        <f t="shared" si="9"/>
        <v>0</v>
      </c>
      <c r="AB26" s="72"/>
      <c r="AC26" s="146">
        <f>AB26/VLOOKUP(S26,Data!$H$22:$I$25,2,FALSE)</f>
        <v>0</v>
      </c>
      <c r="AD26" s="22" t="s">
        <v>157</v>
      </c>
      <c r="AE26" s="146">
        <f>VLOOKUP(S26,Data!$H$22:$J$25,3,FALSE)*T26</f>
        <v>1328.49</v>
      </c>
      <c r="AF26" s="8">
        <f>VLOOKUP(S26,Data!$H$22:$I$25,2,FALSE)*AE26</f>
        <v>1328.49</v>
      </c>
      <c r="AG26" s="8" t="s">
        <v>178</v>
      </c>
      <c r="AH26" s="23">
        <v>2.5000000000000001E-2</v>
      </c>
      <c r="AI26" s="72"/>
      <c r="AJ26" s="159">
        <f t="shared" si="10"/>
        <v>2.5000000000000001E-2</v>
      </c>
      <c r="AK26" s="168">
        <f t="shared" si="43"/>
        <v>1107.075</v>
      </c>
      <c r="AL26" s="160">
        <f t="shared" si="44"/>
        <v>1107.075</v>
      </c>
      <c r="AM26" s="168">
        <f t="shared" si="11"/>
        <v>45390.074999999997</v>
      </c>
      <c r="AN26" s="160">
        <f t="shared" si="12"/>
        <v>45390.074999999997</v>
      </c>
      <c r="AO26" s="160" t="str">
        <f t="shared" si="45"/>
        <v>No</v>
      </c>
      <c r="AP26" s="146">
        <f>IF(AQ26=0,0,AQ26/VLOOKUP(S26,Data!$H$22:$I$25,2,FALSE))</f>
        <v>0</v>
      </c>
      <c r="AQ26" s="183">
        <f t="shared" si="13"/>
        <v>0</v>
      </c>
      <c r="AR26" s="165">
        <f t="shared" si="14"/>
        <v>1107.075</v>
      </c>
      <c r="AS26" s="183">
        <f t="shared" si="15"/>
        <v>1107.075</v>
      </c>
      <c r="AT26" s="250">
        <f t="shared" si="16"/>
        <v>2.5000000000000001E-2</v>
      </c>
      <c r="AU26" s="146">
        <f t="shared" si="17"/>
        <v>45390.074999999997</v>
      </c>
      <c r="AV26" s="8">
        <f t="shared" si="18"/>
        <v>45390.074999999997</v>
      </c>
      <c r="AW26" s="8" t="str">
        <f t="shared" si="19"/>
        <v/>
      </c>
      <c r="AX26" s="180">
        <f t="shared" si="20"/>
        <v>1.0580437062937063</v>
      </c>
      <c r="AY26" s="146">
        <f t="shared" si="21"/>
        <v>0</v>
      </c>
      <c r="AZ26" s="146">
        <f t="shared" si="22"/>
        <v>0</v>
      </c>
      <c r="BA26" s="22" t="s">
        <v>159</v>
      </c>
      <c r="BB26" s="149"/>
      <c r="BC26" s="149"/>
      <c r="BD26" s="144"/>
      <c r="BE26" s="146" t="str">
        <f t="shared" si="23"/>
        <v/>
      </c>
      <c r="BF26" s="8" t="str">
        <f t="shared" si="24"/>
        <v/>
      </c>
      <c r="BG26" s="8" t="str">
        <f>IF(LEN(BC26)&gt;0,VLOOKUP(BC26,'Job Codes'!B19:I137,7,FALSE),"")</f>
        <v/>
      </c>
      <c r="BH26" s="192" t="str">
        <f>IF(LEN(BC26)&gt;0,VLOOKUP(BC26,'Job Codes'!B19:I137,8,FALSE),"")</f>
        <v/>
      </c>
      <c r="BI26" s="192" t="str">
        <f>IF(LEN(BC26)&gt;0,VLOOKUP(BC26,'Job Codes'!$B$2:$J$120,9,FALSE),"")</f>
        <v/>
      </c>
      <c r="BJ26" s="146" t="str">
        <f>IF(LEN(BC26)&gt;0,VLOOKUP(BC26,'Job Codes'!$B$2:$I$120,4,FALSE),"")</f>
        <v/>
      </c>
      <c r="BK26" s="146" t="str">
        <f>IF(LEN(BC26)&gt;0,VLOOKUP(BC26,'Job Codes'!$B$2:$I$120,5,FALSE),"")</f>
        <v/>
      </c>
      <c r="BL26" s="146" t="str">
        <f>IF(LEN(BC26)&gt;0,VLOOKUP(BC26,'Job Codes'!$B$2:$I$120,6,FALSE),"")</f>
        <v/>
      </c>
      <c r="BM26" s="168">
        <f t="shared" si="25"/>
        <v>45390.074999999997</v>
      </c>
      <c r="BN26" s="160">
        <f t="shared" si="26"/>
        <v>45390.074999999997</v>
      </c>
      <c r="BO26" s="22" t="s">
        <v>157</v>
      </c>
      <c r="BP26" s="157">
        <f>VLOOKUP(I26,'Job Codes'!$B$2:$I$120,8,FALSE)</f>
        <v>0.1</v>
      </c>
      <c r="BQ26" s="25" t="str">
        <f>IF(O26&gt;Data!$H$33,"Yes","No")</f>
        <v>No</v>
      </c>
      <c r="BR26" s="191">
        <v>0.1</v>
      </c>
      <c r="BS26" s="150">
        <f t="shared" si="27"/>
        <v>4428.3</v>
      </c>
      <c r="BT26" s="25">
        <f t="shared" si="28"/>
        <v>4428.3</v>
      </c>
      <c r="BU26" s="161">
        <v>1</v>
      </c>
      <c r="BV26" s="168">
        <f t="shared" si="29"/>
        <v>4428.3</v>
      </c>
      <c r="BW26" s="160">
        <f t="shared" si="30"/>
        <v>4428.3</v>
      </c>
      <c r="BX26" s="149"/>
      <c r="BY26" s="32">
        <f t="shared" si="31"/>
        <v>0</v>
      </c>
      <c r="BZ26" s="22" t="s">
        <v>157</v>
      </c>
      <c r="CA26" s="231">
        <f>VLOOKUP(I26,'Job Codes'!$B$2:$J$120,9,FALSE)</f>
        <v>0.1</v>
      </c>
      <c r="CB26" s="253">
        <f t="shared" si="32"/>
        <v>4428.3</v>
      </c>
      <c r="CC26" s="72"/>
      <c r="CD26" s="25" t="str">
        <f t="shared" si="33"/>
        <v>Meets</v>
      </c>
      <c r="CE26" s="27"/>
      <c r="CF26" s="27"/>
      <c r="CG26" s="27"/>
      <c r="CH26" s="27"/>
      <c r="CI26" s="27"/>
      <c r="CJ26" s="3"/>
      <c r="CK26" s="3"/>
      <c r="CL26" s="3">
        <v>4569</v>
      </c>
      <c r="CM26" s="3" t="s">
        <v>161</v>
      </c>
      <c r="CN26" s="3">
        <v>4571</v>
      </c>
      <c r="CO26" s="3" t="s">
        <v>162</v>
      </c>
      <c r="CP26" s="3">
        <v>12345</v>
      </c>
      <c r="CQ26" s="3" t="s">
        <v>163</v>
      </c>
      <c r="CR26" s="246" t="s">
        <v>164</v>
      </c>
      <c r="CS26" s="247" t="s">
        <v>165</v>
      </c>
      <c r="CT26" s="246" t="s">
        <v>166</v>
      </c>
      <c r="CU26" s="247" t="s">
        <v>167</v>
      </c>
      <c r="CV26" s="3" t="str">
        <f t="shared" si="34"/>
        <v>67890;99485</v>
      </c>
      <c r="CW26" s="3" t="s">
        <v>168</v>
      </c>
      <c r="CX26" s="3" t="str">
        <f t="shared" si="35"/>
        <v>AB26;;BB26:BD26;;</v>
      </c>
      <c r="CY26" s="5" t="str">
        <f t="shared" si="36"/>
        <v>Unlock</v>
      </c>
      <c r="CZ26" s="5" t="str">
        <f t="shared" si="37"/>
        <v>Lock</v>
      </c>
      <c r="DA26" s="5" t="str">
        <f t="shared" si="38"/>
        <v>Lock</v>
      </c>
      <c r="DB26" s="5" t="str">
        <f t="shared" si="39"/>
        <v>Lock</v>
      </c>
      <c r="DC26" s="5" t="str">
        <f t="shared" si="40"/>
        <v>Lock</v>
      </c>
      <c r="DD26" s="78">
        <f t="shared" si="41"/>
        <v>3</v>
      </c>
      <c r="DE26" s="2"/>
      <c r="DF26" s="2"/>
      <c r="DG26" s="2"/>
      <c r="DH26" s="2"/>
      <c r="DI26" s="2"/>
      <c r="DJ26" s="2"/>
      <c r="DK26" s="5"/>
      <c r="DL26" s="2"/>
      <c r="DM26" s="2"/>
      <c r="DN26" s="2"/>
      <c r="DO26" s="2"/>
      <c r="DP26" s="2"/>
      <c r="DQ26" s="2"/>
      <c r="DR26" s="2"/>
      <c r="DS26" s="2"/>
      <c r="DT26" s="2"/>
      <c r="DU26" s="2"/>
      <c r="DV26" s="2"/>
      <c r="DW26" s="2"/>
      <c r="DX26" s="2"/>
      <c r="DY26" s="2"/>
      <c r="DZ26" s="2"/>
      <c r="EA26" s="2"/>
      <c r="EB26" s="2"/>
      <c r="EC26" s="2"/>
      <c r="ED26" s="2"/>
      <c r="EE26" s="2"/>
      <c r="EF26" s="1"/>
      <c r="EG26" s="98"/>
      <c r="EH26" s="98"/>
      <c r="EI26" s="1"/>
      <c r="EJ26" s="1"/>
      <c r="EK26" s="98"/>
      <c r="EL26" s="1"/>
    </row>
    <row r="27" spans="1:142">
      <c r="A27" s="32">
        <f t="shared" si="0"/>
        <v>1910</v>
      </c>
      <c r="B27" s="3" t="str">
        <f t="shared" si="1"/>
        <v>sv_statement//Statement//Export Statement&amp;PDFID=Stephen Alleman_1910&amp;SO=Y</v>
      </c>
      <c r="C27" s="5" t="str">
        <f t="shared" si="42"/>
        <v>Statement</v>
      </c>
      <c r="D27" s="5" t="str">
        <f t="shared" si="2"/>
        <v>Stephen Alleman_1910</v>
      </c>
      <c r="E27" s="5"/>
      <c r="F27" s="5">
        <v>1910</v>
      </c>
      <c r="G27" s="22" t="s">
        <v>218</v>
      </c>
      <c r="H27" s="5" t="s">
        <v>214</v>
      </c>
      <c r="I27" s="5" t="s">
        <v>219</v>
      </c>
      <c r="J27" s="5" t="s">
        <v>220</v>
      </c>
      <c r="K27" s="5" t="s">
        <v>221</v>
      </c>
      <c r="L27" s="31">
        <f t="shared" si="3"/>
        <v>20714</v>
      </c>
      <c r="M27" s="5" t="s">
        <v>198</v>
      </c>
      <c r="N27" s="22" t="s">
        <v>155</v>
      </c>
      <c r="O27" s="100">
        <v>37389</v>
      </c>
      <c r="P27" s="146">
        <f>VLOOKUP(I27,'Job Codes'!$B$2:$I$120,4,FALSE)</f>
        <v>29000</v>
      </c>
      <c r="Q27" s="146">
        <f>VLOOKUP(I27,'Job Codes'!$B$2:$I$120,5,FALSE)</f>
        <v>37700</v>
      </c>
      <c r="R27" s="146">
        <f>VLOOKUP(I27,'Job Codes'!$B$2:$I$120,6,FALSE)</f>
        <v>45240</v>
      </c>
      <c r="S27" s="22" t="s">
        <v>171</v>
      </c>
      <c r="T27" s="146">
        <v>39166</v>
      </c>
      <c r="U27" s="8">
        <f>VLOOKUP(S27,Data!$H$22:$I$25,2,FALSE)*T27</f>
        <v>39166</v>
      </c>
      <c r="V27" s="180">
        <f t="shared" si="4"/>
        <v>1.0388859416445624</v>
      </c>
      <c r="W27" s="180">
        <f t="shared" si="5"/>
        <v>0</v>
      </c>
      <c r="X27" s="22" t="str">
        <f t="shared" si="6"/>
        <v>No</v>
      </c>
      <c r="Y27" s="180">
        <f t="shared" si="7"/>
        <v>0</v>
      </c>
      <c r="Z27" s="146">
        <f t="shared" si="8"/>
        <v>0</v>
      </c>
      <c r="AA27" s="146">
        <f t="shared" si="9"/>
        <v>0</v>
      </c>
      <c r="AB27" s="72"/>
      <c r="AC27" s="146">
        <f>AB27/VLOOKUP(S27,Data!$H$22:$I$25,2,FALSE)</f>
        <v>0</v>
      </c>
      <c r="AD27" s="22" t="s">
        <v>157</v>
      </c>
      <c r="AE27" s="146">
        <f>VLOOKUP(S27,Data!$H$22:$J$25,3,FALSE)*T27</f>
        <v>1174.98</v>
      </c>
      <c r="AF27" s="8">
        <f>VLOOKUP(S27,Data!$H$22:$I$25,2,FALSE)*AE27</f>
        <v>1174.98</v>
      </c>
      <c r="AG27" s="8" t="s">
        <v>178</v>
      </c>
      <c r="AH27" s="23">
        <v>2.5000000000000001E-2</v>
      </c>
      <c r="AI27" s="72"/>
      <c r="AJ27" s="159">
        <f t="shared" si="10"/>
        <v>2.5000000000000001E-2</v>
      </c>
      <c r="AK27" s="168">
        <f t="shared" si="43"/>
        <v>979.15000000000009</v>
      </c>
      <c r="AL27" s="160">
        <f t="shared" si="44"/>
        <v>979.15000000000009</v>
      </c>
      <c r="AM27" s="168">
        <f t="shared" si="11"/>
        <v>40145.15</v>
      </c>
      <c r="AN27" s="160">
        <f t="shared" si="12"/>
        <v>40145.15</v>
      </c>
      <c r="AO27" s="160" t="str">
        <f t="shared" si="45"/>
        <v>No</v>
      </c>
      <c r="AP27" s="146">
        <f>IF(AQ27=0,0,AQ27/VLOOKUP(S27,Data!$H$22:$I$25,2,FALSE))</f>
        <v>0</v>
      </c>
      <c r="AQ27" s="183">
        <f t="shared" si="13"/>
        <v>0</v>
      </c>
      <c r="AR27" s="165">
        <f t="shared" si="14"/>
        <v>979.15000000000009</v>
      </c>
      <c r="AS27" s="183">
        <f t="shared" si="15"/>
        <v>979.15000000000009</v>
      </c>
      <c r="AT27" s="250">
        <f t="shared" si="16"/>
        <v>2.5000000000000001E-2</v>
      </c>
      <c r="AU27" s="146">
        <f t="shared" si="17"/>
        <v>40145.15</v>
      </c>
      <c r="AV27" s="8">
        <f t="shared" si="18"/>
        <v>40145.15</v>
      </c>
      <c r="AW27" s="8" t="str">
        <f t="shared" si="19"/>
        <v/>
      </c>
      <c r="AX27" s="180">
        <f t="shared" si="20"/>
        <v>1.0648580901856763</v>
      </c>
      <c r="AY27" s="146">
        <f t="shared" si="21"/>
        <v>0</v>
      </c>
      <c r="AZ27" s="146">
        <f t="shared" si="22"/>
        <v>0</v>
      </c>
      <c r="BA27" s="22" t="s">
        <v>159</v>
      </c>
      <c r="BB27" s="149"/>
      <c r="BC27" s="149"/>
      <c r="BD27" s="144"/>
      <c r="BE27" s="146" t="str">
        <f t="shared" si="23"/>
        <v/>
      </c>
      <c r="BF27" s="8" t="str">
        <f t="shared" si="24"/>
        <v/>
      </c>
      <c r="BG27" s="8" t="str">
        <f>IF(LEN(BC27)&gt;0,VLOOKUP(BC27,'Job Codes'!B20:I138,7,FALSE),"")</f>
        <v/>
      </c>
      <c r="BH27" s="192" t="str">
        <f>IF(LEN(BC27)&gt;0,VLOOKUP(BC27,'Job Codes'!B20:I138,8,FALSE),"")</f>
        <v/>
      </c>
      <c r="BI27" s="192" t="str">
        <f>IF(LEN(BC27)&gt;0,VLOOKUP(BC27,'Job Codes'!$B$2:$J$120,9,FALSE),"")</f>
        <v/>
      </c>
      <c r="BJ27" s="146" t="str">
        <f>IF(LEN(BC27)&gt;0,VLOOKUP(BC27,'Job Codes'!$B$2:$I$120,4,FALSE),"")</f>
        <v/>
      </c>
      <c r="BK27" s="146" t="str">
        <f>IF(LEN(BC27)&gt;0,VLOOKUP(BC27,'Job Codes'!$B$2:$I$120,5,FALSE),"")</f>
        <v/>
      </c>
      <c r="BL27" s="146" t="str">
        <f>IF(LEN(BC27)&gt;0,VLOOKUP(BC27,'Job Codes'!$B$2:$I$120,6,FALSE),"")</f>
        <v/>
      </c>
      <c r="BM27" s="168">
        <f t="shared" si="25"/>
        <v>40145.15</v>
      </c>
      <c r="BN27" s="160">
        <f t="shared" si="26"/>
        <v>40145.15</v>
      </c>
      <c r="BO27" s="22" t="s">
        <v>157</v>
      </c>
      <c r="BP27" s="157">
        <f>VLOOKUP(I27,'Job Codes'!$B$2:$I$120,8,FALSE)</f>
        <v>0.1</v>
      </c>
      <c r="BQ27" s="25" t="str">
        <f>IF(O27&gt;Data!$H$33,"Yes","No")</f>
        <v>No</v>
      </c>
      <c r="BR27" s="191">
        <v>0.1</v>
      </c>
      <c r="BS27" s="150">
        <f t="shared" si="27"/>
        <v>3916.6000000000004</v>
      </c>
      <c r="BT27" s="25">
        <f t="shared" si="28"/>
        <v>3916.6000000000004</v>
      </c>
      <c r="BU27" s="161">
        <v>1</v>
      </c>
      <c r="BV27" s="168">
        <f t="shared" si="29"/>
        <v>3916.6000000000004</v>
      </c>
      <c r="BW27" s="160">
        <f t="shared" si="30"/>
        <v>3916.6000000000004</v>
      </c>
      <c r="BX27" s="149"/>
      <c r="BY27" s="32">
        <f t="shared" si="31"/>
        <v>0</v>
      </c>
      <c r="BZ27" s="22" t="s">
        <v>157</v>
      </c>
      <c r="CA27" s="231">
        <f>VLOOKUP(I27,'Job Codes'!$B$2:$J$120,9,FALSE)</f>
        <v>0.05</v>
      </c>
      <c r="CB27" s="253">
        <f t="shared" si="32"/>
        <v>1958.3000000000002</v>
      </c>
      <c r="CC27" s="72"/>
      <c r="CD27" s="25" t="str">
        <f t="shared" si="33"/>
        <v>Meets</v>
      </c>
      <c r="CE27" s="27"/>
      <c r="CF27" s="27"/>
      <c r="CG27" s="27"/>
      <c r="CH27" s="27"/>
      <c r="CI27" s="27"/>
      <c r="CJ27" s="3"/>
      <c r="CK27" s="3"/>
      <c r="CL27" s="3">
        <v>4569</v>
      </c>
      <c r="CM27" s="3" t="s">
        <v>161</v>
      </c>
      <c r="CN27" s="3">
        <v>4571</v>
      </c>
      <c r="CO27" s="3" t="s">
        <v>162</v>
      </c>
      <c r="CP27" s="3">
        <v>12345</v>
      </c>
      <c r="CQ27" s="3" t="s">
        <v>163</v>
      </c>
      <c r="CR27" s="246" t="s">
        <v>164</v>
      </c>
      <c r="CS27" s="247" t="s">
        <v>165</v>
      </c>
      <c r="CT27" s="246" t="s">
        <v>166</v>
      </c>
      <c r="CU27" s="247" t="s">
        <v>167</v>
      </c>
      <c r="CV27" s="3" t="str">
        <f t="shared" si="34"/>
        <v>67890;99485</v>
      </c>
      <c r="CW27" s="3" t="s">
        <v>168</v>
      </c>
      <c r="CX27" s="3" t="str">
        <f t="shared" si="35"/>
        <v>AB27;;BB27:BD27;;</v>
      </c>
      <c r="CY27" s="5" t="str">
        <f t="shared" si="36"/>
        <v>Unlock</v>
      </c>
      <c r="CZ27" s="5" t="str">
        <f t="shared" si="37"/>
        <v>Lock</v>
      </c>
      <c r="DA27" s="5" t="str">
        <f t="shared" si="38"/>
        <v>Lock</v>
      </c>
      <c r="DB27" s="5" t="str">
        <f t="shared" si="39"/>
        <v>Lock</v>
      </c>
      <c r="DC27" s="5" t="str">
        <f t="shared" si="40"/>
        <v>Lock</v>
      </c>
      <c r="DD27" s="78">
        <f t="shared" si="41"/>
        <v>3</v>
      </c>
      <c r="DE27" s="2"/>
      <c r="DF27" s="2"/>
      <c r="DG27" s="2"/>
      <c r="DH27" s="2"/>
      <c r="DI27" s="2"/>
      <c r="DJ27" s="2"/>
      <c r="DK27" s="5"/>
      <c r="DL27" s="2"/>
      <c r="DM27" s="2"/>
      <c r="DN27" s="2"/>
      <c r="DO27" s="2"/>
      <c r="DP27" s="2"/>
      <c r="DQ27" s="2"/>
      <c r="DR27" s="2"/>
      <c r="DS27" s="2"/>
      <c r="DT27" s="2"/>
      <c r="DU27" s="2"/>
      <c r="DV27" s="2"/>
      <c r="DW27" s="2"/>
      <c r="DX27" s="2"/>
      <c r="DY27" s="2"/>
      <c r="DZ27" s="2"/>
      <c r="EA27" s="2"/>
      <c r="EB27" s="2"/>
      <c r="EC27" s="2"/>
      <c r="ED27" s="2"/>
      <c r="EE27" s="2"/>
      <c r="EF27" s="1"/>
      <c r="EG27" s="98"/>
      <c r="EH27" s="98"/>
      <c r="EI27" s="1"/>
      <c r="EJ27" s="1"/>
      <c r="EK27" s="98"/>
      <c r="EL27" s="1"/>
    </row>
    <row r="28" spans="1:142">
      <c r="A28" s="32">
        <f t="shared" si="0"/>
        <v>1930</v>
      </c>
      <c r="B28" s="3" t="str">
        <f t="shared" si="1"/>
        <v>sv_statement//Statement//Export Statement&amp;PDFID=Antonio Lasher_1930&amp;SO=Y</v>
      </c>
      <c r="C28" s="5" t="str">
        <f t="shared" si="42"/>
        <v>Statement</v>
      </c>
      <c r="D28" s="5" t="str">
        <f t="shared" si="2"/>
        <v>Antonio Lasher_1930</v>
      </c>
      <c r="E28" s="5"/>
      <c r="F28" s="5">
        <v>1930</v>
      </c>
      <c r="G28" s="22" t="s">
        <v>222</v>
      </c>
      <c r="H28" s="5" t="s">
        <v>214</v>
      </c>
      <c r="I28" s="5" t="s">
        <v>223</v>
      </c>
      <c r="J28" s="5" t="s">
        <v>208</v>
      </c>
      <c r="K28" s="5" t="s">
        <v>211</v>
      </c>
      <c r="L28" s="31">
        <f t="shared" si="3"/>
        <v>20714</v>
      </c>
      <c r="M28" s="5" t="s">
        <v>198</v>
      </c>
      <c r="N28" s="22" t="s">
        <v>155</v>
      </c>
      <c r="O28" s="100">
        <v>36941</v>
      </c>
      <c r="P28" s="146">
        <f>VLOOKUP(I28,'Job Codes'!$B$2:$I$120,4,FALSE)</f>
        <v>33000</v>
      </c>
      <c r="Q28" s="146">
        <f>VLOOKUP(I28,'Job Codes'!$B$2:$I$120,5,FALSE)</f>
        <v>42900</v>
      </c>
      <c r="R28" s="146">
        <f>VLOOKUP(I28,'Job Codes'!$B$2:$I$120,6,FALSE)</f>
        <v>51480</v>
      </c>
      <c r="S28" s="22" t="s">
        <v>171</v>
      </c>
      <c r="T28" s="146">
        <v>33280</v>
      </c>
      <c r="U28" s="8">
        <f>VLOOKUP(S28,Data!$H$22:$I$25,2,FALSE)*T28</f>
        <v>33280</v>
      </c>
      <c r="V28" s="180">
        <f t="shared" si="4"/>
        <v>0.77575757575757576</v>
      </c>
      <c r="W28" s="180">
        <f t="shared" si="5"/>
        <v>0.2890625</v>
      </c>
      <c r="X28" s="22" t="str">
        <f t="shared" si="6"/>
        <v>Yes</v>
      </c>
      <c r="Y28" s="180">
        <f t="shared" si="7"/>
        <v>0.02</v>
      </c>
      <c r="Z28" s="146">
        <f t="shared" si="8"/>
        <v>665.6</v>
      </c>
      <c r="AA28" s="146">
        <f t="shared" si="9"/>
        <v>665.6</v>
      </c>
      <c r="AB28" s="72"/>
      <c r="AC28" s="146">
        <f>AB28/VLOOKUP(S28,Data!$H$22:$I$25,2,FALSE)</f>
        <v>0</v>
      </c>
      <c r="AD28" s="22" t="s">
        <v>157</v>
      </c>
      <c r="AE28" s="146">
        <f>VLOOKUP(S28,Data!$H$22:$J$25,3,FALSE)*T28</f>
        <v>998.4</v>
      </c>
      <c r="AF28" s="8">
        <f>VLOOKUP(S28,Data!$H$22:$I$25,2,FALSE)*AE28</f>
        <v>998.4</v>
      </c>
      <c r="AG28" s="8" t="s">
        <v>178</v>
      </c>
      <c r="AH28" s="23">
        <v>0.02</v>
      </c>
      <c r="AI28" s="72"/>
      <c r="AJ28" s="159">
        <f t="shared" si="10"/>
        <v>0.02</v>
      </c>
      <c r="AK28" s="168">
        <f t="shared" si="43"/>
        <v>665.6</v>
      </c>
      <c r="AL28" s="160">
        <f t="shared" si="44"/>
        <v>665.6</v>
      </c>
      <c r="AM28" s="168">
        <f t="shared" si="11"/>
        <v>33945.599999999999</v>
      </c>
      <c r="AN28" s="160">
        <f t="shared" si="12"/>
        <v>33945.599999999999</v>
      </c>
      <c r="AO28" s="160" t="str">
        <f t="shared" si="45"/>
        <v>No</v>
      </c>
      <c r="AP28" s="146">
        <f>IF(AQ28=0,0,AQ28/VLOOKUP(S28,Data!$H$22:$I$25,2,FALSE))</f>
        <v>0</v>
      </c>
      <c r="AQ28" s="183">
        <f t="shared" si="13"/>
        <v>0</v>
      </c>
      <c r="AR28" s="165">
        <f t="shared" si="14"/>
        <v>665.6</v>
      </c>
      <c r="AS28" s="183">
        <f t="shared" si="15"/>
        <v>665.6</v>
      </c>
      <c r="AT28" s="250">
        <f t="shared" si="16"/>
        <v>0.02</v>
      </c>
      <c r="AU28" s="146">
        <f t="shared" si="17"/>
        <v>33945.599999999999</v>
      </c>
      <c r="AV28" s="8">
        <f t="shared" si="18"/>
        <v>33945.599999999999</v>
      </c>
      <c r="AW28" s="8" t="str">
        <f t="shared" si="19"/>
        <v/>
      </c>
      <c r="AX28" s="180">
        <f t="shared" si="20"/>
        <v>0.79127272727272724</v>
      </c>
      <c r="AY28" s="146">
        <f t="shared" si="21"/>
        <v>0</v>
      </c>
      <c r="AZ28" s="146">
        <f t="shared" si="22"/>
        <v>0</v>
      </c>
      <c r="BA28" s="22" t="s">
        <v>159</v>
      </c>
      <c r="BB28" s="149"/>
      <c r="BC28" s="149"/>
      <c r="BD28" s="144"/>
      <c r="BE28" s="146" t="str">
        <f t="shared" si="23"/>
        <v/>
      </c>
      <c r="BF28" s="8" t="str">
        <f t="shared" si="24"/>
        <v/>
      </c>
      <c r="BG28" s="8" t="str">
        <f>IF(LEN(BC28)&gt;0,VLOOKUP(BC28,'Job Codes'!B21:I139,7,FALSE),"")</f>
        <v/>
      </c>
      <c r="BH28" s="192" t="str">
        <f>IF(LEN(BC28)&gt;0,VLOOKUP(BC28,'Job Codes'!B21:I139,8,FALSE),"")</f>
        <v/>
      </c>
      <c r="BI28" s="192" t="str">
        <f>IF(LEN(BC28)&gt;0,VLOOKUP(BC28,'Job Codes'!$B$2:$J$120,9,FALSE),"")</f>
        <v/>
      </c>
      <c r="BJ28" s="146" t="str">
        <f>IF(LEN(BC28)&gt;0,VLOOKUP(BC28,'Job Codes'!$B$2:$I$120,4,FALSE),"")</f>
        <v/>
      </c>
      <c r="BK28" s="146" t="str">
        <f>IF(LEN(BC28)&gt;0,VLOOKUP(BC28,'Job Codes'!$B$2:$I$120,5,FALSE),"")</f>
        <v/>
      </c>
      <c r="BL28" s="146" t="str">
        <f>IF(LEN(BC28)&gt;0,VLOOKUP(BC28,'Job Codes'!$B$2:$I$120,6,FALSE),"")</f>
        <v/>
      </c>
      <c r="BM28" s="168">
        <f t="shared" si="25"/>
        <v>33945.599999999999</v>
      </c>
      <c r="BN28" s="160">
        <f t="shared" si="26"/>
        <v>33945.599999999999</v>
      </c>
      <c r="BO28" s="22" t="s">
        <v>157</v>
      </c>
      <c r="BP28" s="157">
        <f>VLOOKUP(I28,'Job Codes'!$B$2:$I$120,8,FALSE)</f>
        <v>0.1</v>
      </c>
      <c r="BQ28" s="25" t="str">
        <f>IF(O28&gt;Data!$H$33,"Yes","No")</f>
        <v>No</v>
      </c>
      <c r="BR28" s="191">
        <v>0.1</v>
      </c>
      <c r="BS28" s="150">
        <f t="shared" si="27"/>
        <v>3328</v>
      </c>
      <c r="BT28" s="25">
        <f t="shared" si="28"/>
        <v>3328</v>
      </c>
      <c r="BU28" s="161">
        <v>1</v>
      </c>
      <c r="BV28" s="168">
        <f t="shared" si="29"/>
        <v>3328</v>
      </c>
      <c r="BW28" s="160">
        <f t="shared" si="30"/>
        <v>3328</v>
      </c>
      <c r="BX28" s="149"/>
      <c r="BY28" s="32">
        <f t="shared" si="31"/>
        <v>0</v>
      </c>
      <c r="BZ28" s="22" t="s">
        <v>157</v>
      </c>
      <c r="CA28" s="231">
        <f>VLOOKUP(I28,'Job Codes'!$B$2:$J$120,9,FALSE)</f>
        <v>0.1</v>
      </c>
      <c r="CB28" s="253">
        <f t="shared" si="32"/>
        <v>3328</v>
      </c>
      <c r="CC28" s="72"/>
      <c r="CD28" s="25" t="str">
        <f t="shared" si="33"/>
        <v>Meets</v>
      </c>
      <c r="CE28" s="27"/>
      <c r="CF28" s="27"/>
      <c r="CG28" s="27"/>
      <c r="CH28" s="27"/>
      <c r="CI28" s="27"/>
      <c r="CJ28" s="3"/>
      <c r="CK28" s="3"/>
      <c r="CL28" s="3">
        <v>4569</v>
      </c>
      <c r="CM28" s="3" t="s">
        <v>161</v>
      </c>
      <c r="CN28" s="3">
        <v>4571</v>
      </c>
      <c r="CO28" s="3" t="s">
        <v>162</v>
      </c>
      <c r="CP28" s="3">
        <v>12345</v>
      </c>
      <c r="CQ28" s="3" t="s">
        <v>163</v>
      </c>
      <c r="CR28" s="246" t="s">
        <v>164</v>
      </c>
      <c r="CS28" s="247" t="s">
        <v>165</v>
      </c>
      <c r="CT28" s="246" t="s">
        <v>166</v>
      </c>
      <c r="CU28" s="247" t="s">
        <v>167</v>
      </c>
      <c r="CV28" s="3" t="str">
        <f t="shared" si="34"/>
        <v>67890;99485</v>
      </c>
      <c r="CW28" s="3" t="s">
        <v>168</v>
      </c>
      <c r="CX28" s="3" t="str">
        <f t="shared" si="35"/>
        <v>;;BB28:BD28;;</v>
      </c>
      <c r="CY28" s="5" t="str">
        <f t="shared" si="36"/>
        <v>Unlock</v>
      </c>
      <c r="CZ28" s="5" t="str">
        <f t="shared" si="37"/>
        <v>Lock</v>
      </c>
      <c r="DA28" s="5" t="str">
        <f t="shared" si="38"/>
        <v>Lock</v>
      </c>
      <c r="DB28" s="5" t="str">
        <f t="shared" si="39"/>
        <v>Lock</v>
      </c>
      <c r="DC28" s="5" t="str">
        <f t="shared" si="40"/>
        <v>Lock</v>
      </c>
      <c r="DD28" s="78">
        <f t="shared" si="41"/>
        <v>3</v>
      </c>
      <c r="DE28" s="2"/>
      <c r="DF28" s="2"/>
      <c r="DG28" s="2"/>
      <c r="DH28" s="2"/>
      <c r="DI28" s="2"/>
      <c r="DJ28" s="2"/>
      <c r="DK28" s="5"/>
      <c r="DL28" s="2"/>
      <c r="DM28" s="2"/>
      <c r="DN28" s="2"/>
      <c r="DO28" s="2"/>
      <c r="DP28" s="2"/>
      <c r="DQ28" s="2"/>
      <c r="DR28" s="2"/>
      <c r="DS28" s="2"/>
      <c r="DT28" s="2"/>
      <c r="DU28" s="2"/>
      <c r="DV28" s="2"/>
      <c r="DW28" s="2"/>
      <c r="DX28" s="2"/>
      <c r="DY28" s="2"/>
      <c r="DZ28" s="2"/>
      <c r="EA28" s="2"/>
      <c r="EB28" s="2"/>
      <c r="EC28" s="2"/>
      <c r="ED28" s="2"/>
      <c r="EE28" s="2"/>
      <c r="EF28" s="1"/>
      <c r="EG28" s="98"/>
      <c r="EH28" s="98"/>
      <c r="EI28" s="1"/>
      <c r="EJ28" s="1"/>
      <c r="EK28" s="98"/>
      <c r="EL28" s="1"/>
    </row>
    <row r="29" spans="1:142">
      <c r="A29" s="32">
        <f t="shared" si="0"/>
        <v>1935</v>
      </c>
      <c r="B29" s="3" t="str">
        <f t="shared" si="1"/>
        <v>sv_statement//Statement//Export Statement&amp;PDFID=Regina Vanhouten_1935&amp;SO=Y</v>
      </c>
      <c r="C29" s="5" t="str">
        <f t="shared" si="42"/>
        <v>Statement</v>
      </c>
      <c r="D29" s="5" t="str">
        <f t="shared" si="2"/>
        <v>Regina Vanhouten_1935</v>
      </c>
      <c r="E29" s="5"/>
      <c r="F29" s="5">
        <v>1935</v>
      </c>
      <c r="G29" s="22" t="s">
        <v>224</v>
      </c>
      <c r="H29" s="5" t="s">
        <v>214</v>
      </c>
      <c r="I29" s="5" t="s">
        <v>225</v>
      </c>
      <c r="J29" s="5" t="s">
        <v>208</v>
      </c>
      <c r="K29" s="5" t="s">
        <v>211</v>
      </c>
      <c r="L29" s="31">
        <f t="shared" si="3"/>
        <v>20714</v>
      </c>
      <c r="M29" s="5" t="s">
        <v>198</v>
      </c>
      <c r="N29" s="22" t="s">
        <v>155</v>
      </c>
      <c r="O29" s="100">
        <v>36941</v>
      </c>
      <c r="P29" s="146">
        <f>VLOOKUP(I29,'Job Codes'!$B$2:$I$120,4,FALSE)</f>
        <v>27000</v>
      </c>
      <c r="Q29" s="146">
        <f>VLOOKUP(I29,'Job Codes'!$B$2:$I$120,5,FALSE)</f>
        <v>35100</v>
      </c>
      <c r="R29" s="146">
        <f>VLOOKUP(I29,'Job Codes'!$B$2:$I$120,6,FALSE)</f>
        <v>42120</v>
      </c>
      <c r="S29" s="22" t="s">
        <v>171</v>
      </c>
      <c r="T29" s="146">
        <v>34800</v>
      </c>
      <c r="U29" s="8">
        <f>VLOOKUP(S29,Data!$H$22:$I$25,2,FALSE)*T29</f>
        <v>34800</v>
      </c>
      <c r="V29" s="180">
        <f t="shared" si="4"/>
        <v>0.99145299145299148</v>
      </c>
      <c r="W29" s="180">
        <f t="shared" si="5"/>
        <v>8.6206896551724137E-3</v>
      </c>
      <c r="X29" s="22" t="str">
        <f t="shared" si="6"/>
        <v>No</v>
      </c>
      <c r="Y29" s="180">
        <f t="shared" si="7"/>
        <v>0</v>
      </c>
      <c r="Z29" s="146">
        <f t="shared" si="8"/>
        <v>0</v>
      </c>
      <c r="AA29" s="146">
        <f t="shared" si="9"/>
        <v>0</v>
      </c>
      <c r="AB29" s="72"/>
      <c r="AC29" s="146">
        <f>AB29/VLOOKUP(S29,Data!$H$22:$I$25,2,FALSE)</f>
        <v>0</v>
      </c>
      <c r="AD29" s="22" t="s">
        <v>157</v>
      </c>
      <c r="AE29" s="146">
        <f>VLOOKUP(S29,Data!$H$22:$J$25,3,FALSE)*T29</f>
        <v>1044</v>
      </c>
      <c r="AF29" s="8">
        <f>VLOOKUP(S29,Data!$H$22:$I$25,2,FALSE)*AE29</f>
        <v>1044</v>
      </c>
      <c r="AG29" s="8" t="s">
        <v>178</v>
      </c>
      <c r="AH29" s="23">
        <v>1.4999999999999999E-2</v>
      </c>
      <c r="AI29" s="72"/>
      <c r="AJ29" s="159">
        <f t="shared" si="10"/>
        <v>1.4999999999999999E-2</v>
      </c>
      <c r="AK29" s="168">
        <f t="shared" si="43"/>
        <v>522</v>
      </c>
      <c r="AL29" s="160">
        <f t="shared" si="44"/>
        <v>522</v>
      </c>
      <c r="AM29" s="168">
        <f t="shared" si="11"/>
        <v>35322</v>
      </c>
      <c r="AN29" s="160">
        <f t="shared" si="12"/>
        <v>35322</v>
      </c>
      <c r="AO29" s="160" t="str">
        <f t="shared" si="45"/>
        <v>No</v>
      </c>
      <c r="AP29" s="146">
        <f>IF(AQ29=0,0,AQ29/VLOOKUP(S29,Data!$H$22:$I$25,2,FALSE))</f>
        <v>0</v>
      </c>
      <c r="AQ29" s="183">
        <f t="shared" si="13"/>
        <v>0</v>
      </c>
      <c r="AR29" s="165">
        <f t="shared" si="14"/>
        <v>522</v>
      </c>
      <c r="AS29" s="183">
        <f t="shared" si="15"/>
        <v>522</v>
      </c>
      <c r="AT29" s="250">
        <f t="shared" si="16"/>
        <v>1.4999999999999999E-2</v>
      </c>
      <c r="AU29" s="146">
        <f t="shared" si="17"/>
        <v>35322</v>
      </c>
      <c r="AV29" s="8">
        <f t="shared" si="18"/>
        <v>35322</v>
      </c>
      <c r="AW29" s="8" t="str">
        <f t="shared" si="19"/>
        <v/>
      </c>
      <c r="AX29" s="180">
        <f t="shared" si="20"/>
        <v>1.0063247863247864</v>
      </c>
      <c r="AY29" s="146">
        <f t="shared" si="21"/>
        <v>0</v>
      </c>
      <c r="AZ29" s="146">
        <f t="shared" si="22"/>
        <v>0</v>
      </c>
      <c r="BA29" s="22" t="s">
        <v>159</v>
      </c>
      <c r="BB29" s="149"/>
      <c r="BC29" s="149"/>
      <c r="BD29" s="144"/>
      <c r="BE29" s="146" t="str">
        <f t="shared" si="23"/>
        <v/>
      </c>
      <c r="BF29" s="8" t="str">
        <f t="shared" si="24"/>
        <v/>
      </c>
      <c r="BG29" s="8" t="str">
        <f>IF(LEN(BC29)&gt;0,VLOOKUP(BC29,'Job Codes'!B22:I140,7,FALSE),"")</f>
        <v/>
      </c>
      <c r="BH29" s="192" t="str">
        <f>IF(LEN(BC29)&gt;0,VLOOKUP(BC29,'Job Codes'!B22:I140,8,FALSE),"")</f>
        <v/>
      </c>
      <c r="BI29" s="192" t="str">
        <f>IF(LEN(BC29)&gt;0,VLOOKUP(BC29,'Job Codes'!$B$2:$J$120,9,FALSE),"")</f>
        <v/>
      </c>
      <c r="BJ29" s="146" t="str">
        <f>IF(LEN(BC29)&gt;0,VLOOKUP(BC29,'Job Codes'!$B$2:$I$120,4,FALSE),"")</f>
        <v/>
      </c>
      <c r="BK29" s="146" t="str">
        <f>IF(LEN(BC29)&gt;0,VLOOKUP(BC29,'Job Codes'!$B$2:$I$120,5,FALSE),"")</f>
        <v/>
      </c>
      <c r="BL29" s="146" t="str">
        <f>IF(LEN(BC29)&gt;0,VLOOKUP(BC29,'Job Codes'!$B$2:$I$120,6,FALSE),"")</f>
        <v/>
      </c>
      <c r="BM29" s="168">
        <f t="shared" si="25"/>
        <v>35322</v>
      </c>
      <c r="BN29" s="160">
        <f t="shared" si="26"/>
        <v>35322</v>
      </c>
      <c r="BO29" s="22" t="s">
        <v>157</v>
      </c>
      <c r="BP29" s="157">
        <f>VLOOKUP(I29,'Job Codes'!$B$2:$I$120,8,FALSE)</f>
        <v>0.05</v>
      </c>
      <c r="BQ29" s="25" t="str">
        <f>IF(O29&gt;Data!$H$33,"Yes","No")</f>
        <v>No</v>
      </c>
      <c r="BR29" s="191">
        <v>0.05</v>
      </c>
      <c r="BS29" s="150">
        <f t="shared" si="27"/>
        <v>1740</v>
      </c>
      <c r="BT29" s="25">
        <f t="shared" si="28"/>
        <v>1740</v>
      </c>
      <c r="BU29" s="161">
        <v>1</v>
      </c>
      <c r="BV29" s="168">
        <f t="shared" si="29"/>
        <v>1740</v>
      </c>
      <c r="BW29" s="160">
        <f t="shared" si="30"/>
        <v>1740</v>
      </c>
      <c r="BX29" s="149"/>
      <c r="BY29" s="32">
        <f t="shared" si="31"/>
        <v>0</v>
      </c>
      <c r="BZ29" s="22" t="s">
        <v>159</v>
      </c>
      <c r="CA29" s="231">
        <f>VLOOKUP(I29,'Job Codes'!$B$2:$J$120,9,FALSE)</f>
        <v>0</v>
      </c>
      <c r="CB29" s="253">
        <f t="shared" si="32"/>
        <v>0</v>
      </c>
      <c r="CC29" s="72"/>
      <c r="CD29" s="25" t="str">
        <f t="shared" si="33"/>
        <v>Meets</v>
      </c>
      <c r="CE29" s="27"/>
      <c r="CF29" s="27"/>
      <c r="CG29" s="27"/>
      <c r="CH29" s="27"/>
      <c r="CI29" s="27"/>
      <c r="CJ29" s="3"/>
      <c r="CK29" s="3"/>
      <c r="CL29" s="3">
        <v>4569</v>
      </c>
      <c r="CM29" s="3" t="s">
        <v>161</v>
      </c>
      <c r="CN29" s="3">
        <v>4571</v>
      </c>
      <c r="CO29" s="3" t="s">
        <v>162</v>
      </c>
      <c r="CP29" s="3">
        <v>12345</v>
      </c>
      <c r="CQ29" s="3" t="s">
        <v>163</v>
      </c>
      <c r="CR29" s="246" t="s">
        <v>164</v>
      </c>
      <c r="CS29" s="247" t="s">
        <v>165</v>
      </c>
      <c r="CT29" s="246" t="s">
        <v>166</v>
      </c>
      <c r="CU29" s="247" t="s">
        <v>167</v>
      </c>
      <c r="CV29" s="3" t="str">
        <f t="shared" si="34"/>
        <v>67890;99485</v>
      </c>
      <c r="CW29" s="3" t="s">
        <v>168</v>
      </c>
      <c r="CX29" s="3" t="str">
        <f t="shared" si="35"/>
        <v>AB29;;BB29:BD29;;CC29</v>
      </c>
      <c r="CY29" s="5" t="str">
        <f t="shared" si="36"/>
        <v>Unlock</v>
      </c>
      <c r="CZ29" s="5" t="str">
        <f t="shared" si="37"/>
        <v>Lock</v>
      </c>
      <c r="DA29" s="5" t="str">
        <f t="shared" si="38"/>
        <v>Lock</v>
      </c>
      <c r="DB29" s="5" t="str">
        <f t="shared" si="39"/>
        <v>Lock</v>
      </c>
      <c r="DC29" s="5" t="str">
        <f t="shared" si="40"/>
        <v>Lock</v>
      </c>
      <c r="DD29" s="78">
        <f t="shared" si="41"/>
        <v>3</v>
      </c>
      <c r="DE29" s="2"/>
      <c r="DF29" s="2"/>
      <c r="DG29" s="2"/>
      <c r="DH29" s="2"/>
      <c r="DI29" s="2"/>
      <c r="DJ29" s="2"/>
      <c r="DK29" s="5"/>
      <c r="DL29" s="2"/>
      <c r="DM29" s="2"/>
      <c r="DN29" s="2"/>
      <c r="DO29" s="2"/>
      <c r="DP29" s="2"/>
      <c r="DQ29" s="2"/>
      <c r="DR29" s="2"/>
      <c r="DS29" s="2"/>
      <c r="DT29" s="2"/>
      <c r="DU29" s="2"/>
      <c r="DV29" s="2"/>
      <c r="DW29" s="2"/>
      <c r="DX29" s="2"/>
      <c r="DY29" s="2"/>
      <c r="DZ29" s="2"/>
      <c r="EA29" s="2"/>
      <c r="EB29" s="2"/>
      <c r="EC29" s="2"/>
      <c r="ED29" s="2"/>
      <c r="EE29" s="2"/>
      <c r="EF29" s="1"/>
      <c r="EG29" s="98"/>
      <c r="EH29" s="98"/>
      <c r="EI29" s="1"/>
      <c r="EJ29" s="1"/>
      <c r="EK29" s="98"/>
      <c r="EL29" s="1"/>
    </row>
    <row r="30" spans="1:142">
      <c r="A30" s="32">
        <f t="shared" si="0"/>
        <v>1958</v>
      </c>
      <c r="B30" s="3" t="str">
        <f t="shared" si="1"/>
        <v>sv_statement//Statement//Export Statement&amp;PDFID=Dennis Bowman_1958&amp;SO=Y</v>
      </c>
      <c r="C30" s="5" t="str">
        <f t="shared" si="42"/>
        <v>Statement</v>
      </c>
      <c r="D30" s="5" t="str">
        <f t="shared" si="2"/>
        <v>Dennis Bowman_1958</v>
      </c>
      <c r="E30" s="5"/>
      <c r="F30" s="5">
        <v>1958</v>
      </c>
      <c r="G30" s="22" t="s">
        <v>226</v>
      </c>
      <c r="H30" s="5" t="s">
        <v>195</v>
      </c>
      <c r="I30" s="5" t="s">
        <v>227</v>
      </c>
      <c r="J30" s="5" t="s">
        <v>208</v>
      </c>
      <c r="K30" s="5" t="s">
        <v>211</v>
      </c>
      <c r="L30" s="31">
        <f t="shared" si="3"/>
        <v>11498</v>
      </c>
      <c r="M30" s="5" t="s">
        <v>197</v>
      </c>
      <c r="N30" s="22" t="s">
        <v>155</v>
      </c>
      <c r="O30" s="100">
        <v>36948</v>
      </c>
      <c r="P30" s="146">
        <f>VLOOKUP(I30,'Job Codes'!$B$2:$I$120,4,FALSE)</f>
        <v>27000</v>
      </c>
      <c r="Q30" s="146">
        <f>VLOOKUP(I30,'Job Codes'!$B$2:$I$120,5,FALSE)</f>
        <v>35100</v>
      </c>
      <c r="R30" s="146">
        <f>VLOOKUP(I30,'Job Codes'!$B$2:$I$120,6,FALSE)</f>
        <v>42120</v>
      </c>
      <c r="S30" s="22" t="s">
        <v>171</v>
      </c>
      <c r="T30" s="146">
        <v>28746</v>
      </c>
      <c r="U30" s="8">
        <f>VLOOKUP(S30,Data!$H$22:$I$25,2,FALSE)*T30</f>
        <v>28746</v>
      </c>
      <c r="V30" s="180">
        <f t="shared" si="4"/>
        <v>0.818974358974359</v>
      </c>
      <c r="W30" s="180">
        <f t="shared" si="5"/>
        <v>0.22103944896681277</v>
      </c>
      <c r="X30" s="22" t="str">
        <f t="shared" si="6"/>
        <v>Yes</v>
      </c>
      <c r="Y30" s="180">
        <f t="shared" si="7"/>
        <v>0.02</v>
      </c>
      <c r="Z30" s="146">
        <f t="shared" si="8"/>
        <v>574.91999999999996</v>
      </c>
      <c r="AA30" s="146">
        <f t="shared" si="9"/>
        <v>574.91999999999996</v>
      </c>
      <c r="AB30" s="72"/>
      <c r="AC30" s="146">
        <f>AB30/VLOOKUP(S30,Data!$H$22:$I$25,2,FALSE)</f>
        <v>0</v>
      </c>
      <c r="AD30" s="22" t="s">
        <v>157</v>
      </c>
      <c r="AE30" s="146">
        <f>VLOOKUP(S30,Data!$H$22:$J$25,3,FALSE)*T30</f>
        <v>862.38</v>
      </c>
      <c r="AF30" s="8">
        <f>VLOOKUP(S30,Data!$H$22:$I$25,2,FALSE)*AE30</f>
        <v>862.38</v>
      </c>
      <c r="AG30" s="8" t="s">
        <v>178</v>
      </c>
      <c r="AH30" s="23">
        <v>0.02</v>
      </c>
      <c r="AI30" s="72"/>
      <c r="AJ30" s="159">
        <f t="shared" si="10"/>
        <v>1.9999999999999997E-2</v>
      </c>
      <c r="AK30" s="168">
        <f t="shared" si="43"/>
        <v>574.91999999999996</v>
      </c>
      <c r="AL30" s="160">
        <f t="shared" si="44"/>
        <v>574.91999999999996</v>
      </c>
      <c r="AM30" s="168">
        <f t="shared" si="11"/>
        <v>29320.92</v>
      </c>
      <c r="AN30" s="160">
        <f t="shared" si="12"/>
        <v>29320.92</v>
      </c>
      <c r="AO30" s="160" t="str">
        <f t="shared" si="45"/>
        <v>No</v>
      </c>
      <c r="AP30" s="146">
        <f>IF(AQ30=0,0,AQ30/VLOOKUP(S30,Data!$H$22:$I$25,2,FALSE))</f>
        <v>0</v>
      </c>
      <c r="AQ30" s="183">
        <f t="shared" si="13"/>
        <v>0</v>
      </c>
      <c r="AR30" s="165">
        <f t="shared" si="14"/>
        <v>574.91999999999996</v>
      </c>
      <c r="AS30" s="183">
        <f t="shared" si="15"/>
        <v>574.91999999999996</v>
      </c>
      <c r="AT30" s="250">
        <f t="shared" si="16"/>
        <v>1.9999999999999997E-2</v>
      </c>
      <c r="AU30" s="146">
        <f t="shared" si="17"/>
        <v>29320.92</v>
      </c>
      <c r="AV30" s="8">
        <f t="shared" si="18"/>
        <v>29320.92</v>
      </c>
      <c r="AW30" s="8" t="str">
        <f t="shared" si="19"/>
        <v/>
      </c>
      <c r="AX30" s="180">
        <f t="shared" si="20"/>
        <v>0.83535384615384611</v>
      </c>
      <c r="AY30" s="146">
        <f t="shared" si="21"/>
        <v>0</v>
      </c>
      <c r="AZ30" s="146">
        <f t="shared" si="22"/>
        <v>0</v>
      </c>
      <c r="BA30" s="22" t="s">
        <v>159</v>
      </c>
      <c r="BB30" s="149"/>
      <c r="BC30" s="149"/>
      <c r="BD30" s="144"/>
      <c r="BE30" s="146" t="str">
        <f t="shared" si="23"/>
        <v/>
      </c>
      <c r="BF30" s="8" t="str">
        <f t="shared" si="24"/>
        <v/>
      </c>
      <c r="BG30" s="8" t="str">
        <f>IF(LEN(BC30)&gt;0,VLOOKUP(BC30,'Job Codes'!B23:I141,7,FALSE),"")</f>
        <v/>
      </c>
      <c r="BH30" s="192" t="str">
        <f>IF(LEN(BC30)&gt;0,VLOOKUP(BC30,'Job Codes'!B23:I141,8,FALSE),"")</f>
        <v/>
      </c>
      <c r="BI30" s="192" t="str">
        <f>IF(LEN(BC30)&gt;0,VLOOKUP(BC30,'Job Codes'!$B$2:$J$120,9,FALSE),"")</f>
        <v/>
      </c>
      <c r="BJ30" s="146" t="str">
        <f>IF(LEN(BC30)&gt;0,VLOOKUP(BC30,'Job Codes'!$B$2:$I$120,4,FALSE),"")</f>
        <v/>
      </c>
      <c r="BK30" s="146" t="str">
        <f>IF(LEN(BC30)&gt;0,VLOOKUP(BC30,'Job Codes'!$B$2:$I$120,5,FALSE),"")</f>
        <v/>
      </c>
      <c r="BL30" s="146" t="str">
        <f>IF(LEN(BC30)&gt;0,VLOOKUP(BC30,'Job Codes'!$B$2:$I$120,6,FALSE),"")</f>
        <v/>
      </c>
      <c r="BM30" s="168">
        <f t="shared" si="25"/>
        <v>29320.92</v>
      </c>
      <c r="BN30" s="160">
        <f t="shared" si="26"/>
        <v>29320.92</v>
      </c>
      <c r="BO30" s="22" t="s">
        <v>157</v>
      </c>
      <c r="BP30" s="157">
        <f>VLOOKUP(I30,'Job Codes'!$B$2:$I$120,8,FALSE)</f>
        <v>0.05</v>
      </c>
      <c r="BQ30" s="25" t="str">
        <f>IF(O30&gt;Data!$H$33,"Yes","No")</f>
        <v>No</v>
      </c>
      <c r="BR30" s="191">
        <v>0.05</v>
      </c>
      <c r="BS30" s="150">
        <f t="shared" si="27"/>
        <v>1437.3000000000002</v>
      </c>
      <c r="BT30" s="25">
        <f t="shared" si="28"/>
        <v>1437.3000000000002</v>
      </c>
      <c r="BU30" s="161">
        <v>1</v>
      </c>
      <c r="BV30" s="168">
        <f t="shared" si="29"/>
        <v>1437.3000000000002</v>
      </c>
      <c r="BW30" s="160">
        <f t="shared" si="30"/>
        <v>1437.3000000000002</v>
      </c>
      <c r="BX30" s="149"/>
      <c r="BY30" s="32">
        <f t="shared" si="31"/>
        <v>0</v>
      </c>
      <c r="BZ30" s="22" t="s">
        <v>159</v>
      </c>
      <c r="CA30" s="231">
        <f>VLOOKUP(I30,'Job Codes'!$B$2:$J$120,9,FALSE)</f>
        <v>0</v>
      </c>
      <c r="CB30" s="253">
        <f t="shared" si="32"/>
        <v>0</v>
      </c>
      <c r="CC30" s="72"/>
      <c r="CD30" s="25" t="str">
        <f t="shared" si="33"/>
        <v>Meets</v>
      </c>
      <c r="CE30" s="27"/>
      <c r="CF30" s="27"/>
      <c r="CG30" s="27"/>
      <c r="CH30" s="27"/>
      <c r="CI30" s="27"/>
      <c r="CJ30" s="3">
        <v>20714</v>
      </c>
      <c r="CK30" s="3" t="s">
        <v>198</v>
      </c>
      <c r="CL30" s="3">
        <v>4569</v>
      </c>
      <c r="CM30" s="3" t="s">
        <v>161</v>
      </c>
      <c r="CN30" s="3">
        <v>4571</v>
      </c>
      <c r="CO30" s="3" t="s">
        <v>162</v>
      </c>
      <c r="CP30" s="3">
        <v>12345</v>
      </c>
      <c r="CQ30" s="3" t="s">
        <v>163</v>
      </c>
      <c r="CR30" s="246" t="s">
        <v>166</v>
      </c>
      <c r="CS30" s="247" t="s">
        <v>167</v>
      </c>
      <c r="CT30" s="246" t="s">
        <v>199</v>
      </c>
      <c r="CU30" s="247" t="s">
        <v>200</v>
      </c>
      <c r="CV30" s="3" t="str">
        <f t="shared" si="34"/>
        <v>99485;36523</v>
      </c>
      <c r="CW30" s="3" t="s">
        <v>168</v>
      </c>
      <c r="CX30" s="3" t="str">
        <f t="shared" si="35"/>
        <v>;;BB30:BD30;;CC30</v>
      </c>
      <c r="CY30" s="5" t="str">
        <f t="shared" si="36"/>
        <v>Unlock</v>
      </c>
      <c r="CZ30" s="5" t="str">
        <f t="shared" si="37"/>
        <v>Lock</v>
      </c>
      <c r="DA30" s="5" t="str">
        <f t="shared" si="38"/>
        <v>Lock</v>
      </c>
      <c r="DB30" s="5" t="str">
        <f t="shared" si="39"/>
        <v>Lock</v>
      </c>
      <c r="DC30" s="5" t="str">
        <f t="shared" si="40"/>
        <v>Lock</v>
      </c>
      <c r="DD30" s="78">
        <f t="shared" si="41"/>
        <v>2</v>
      </c>
      <c r="DE30" s="2"/>
      <c r="DF30" s="2"/>
      <c r="DG30" s="2"/>
      <c r="DH30" s="2"/>
      <c r="DI30" s="2"/>
      <c r="DJ30" s="2"/>
      <c r="DK30" s="5"/>
      <c r="DL30" s="2"/>
      <c r="DM30" s="2"/>
      <c r="DN30" s="2"/>
      <c r="DO30" s="2"/>
      <c r="DP30" s="2"/>
      <c r="DQ30" s="2"/>
      <c r="DR30" s="2"/>
      <c r="DS30" s="2"/>
      <c r="DT30" s="2"/>
      <c r="DU30" s="2"/>
      <c r="DV30" s="2"/>
      <c r="DW30" s="2"/>
      <c r="DX30" s="2"/>
      <c r="DY30" s="2"/>
      <c r="DZ30" s="2"/>
      <c r="EA30" s="2"/>
      <c r="EB30" s="2"/>
      <c r="EC30" s="2"/>
      <c r="ED30" s="2"/>
      <c r="EE30" s="2"/>
      <c r="EF30" s="1"/>
      <c r="EG30" s="98"/>
      <c r="EH30" s="98"/>
      <c r="EI30" s="1"/>
      <c r="EJ30" s="1"/>
      <c r="EK30" s="98"/>
      <c r="EL30" s="1"/>
    </row>
    <row r="31" spans="1:142">
      <c r="A31" s="32">
        <f t="shared" si="0"/>
        <v>1981</v>
      </c>
      <c r="B31" s="3" t="str">
        <f t="shared" si="1"/>
        <v>sv_statement//Statement//Export Statement&amp;PDFID=Wendy Solberg_1981&amp;SO=Y</v>
      </c>
      <c r="C31" s="5" t="str">
        <f t="shared" si="42"/>
        <v>Statement</v>
      </c>
      <c r="D31" s="5" t="str">
        <f t="shared" si="2"/>
        <v>Wendy Solberg_1981</v>
      </c>
      <c r="E31" s="5"/>
      <c r="F31" s="5">
        <v>1981</v>
      </c>
      <c r="G31" s="22" t="s">
        <v>228</v>
      </c>
      <c r="H31" s="5" t="s">
        <v>195</v>
      </c>
      <c r="I31" s="5" t="s">
        <v>229</v>
      </c>
      <c r="J31" s="5" t="s">
        <v>208</v>
      </c>
      <c r="K31" s="5" t="s">
        <v>211</v>
      </c>
      <c r="L31" s="31">
        <f t="shared" si="3"/>
        <v>11498</v>
      </c>
      <c r="M31" s="5" t="s">
        <v>197</v>
      </c>
      <c r="N31" s="22" t="s">
        <v>155</v>
      </c>
      <c r="O31" s="100">
        <v>36957</v>
      </c>
      <c r="P31" s="146">
        <f>VLOOKUP(I31,'Job Codes'!$B$2:$I$120,4,FALSE)</f>
        <v>26500</v>
      </c>
      <c r="Q31" s="146">
        <f>VLOOKUP(I31,'Job Codes'!$B$2:$I$120,5,FALSE)</f>
        <v>34450</v>
      </c>
      <c r="R31" s="146">
        <f>VLOOKUP(I31,'Job Codes'!$B$2:$I$120,6,FALSE)</f>
        <v>41340</v>
      </c>
      <c r="S31" s="22" t="s">
        <v>171</v>
      </c>
      <c r="T31" s="146">
        <v>29806</v>
      </c>
      <c r="U31" s="8">
        <f>VLOOKUP(S31,Data!$H$22:$I$25,2,FALSE)*T31</f>
        <v>29806</v>
      </c>
      <c r="V31" s="180">
        <f t="shared" si="4"/>
        <v>0.86519593613933232</v>
      </c>
      <c r="W31" s="180">
        <f t="shared" si="5"/>
        <v>0.15580755552573308</v>
      </c>
      <c r="X31" s="22" t="str">
        <f t="shared" si="6"/>
        <v>Yes</v>
      </c>
      <c r="Y31" s="180">
        <f t="shared" si="7"/>
        <v>0.02</v>
      </c>
      <c r="Z31" s="146">
        <f t="shared" si="8"/>
        <v>596.12</v>
      </c>
      <c r="AA31" s="146">
        <f t="shared" si="9"/>
        <v>596.12</v>
      </c>
      <c r="AB31" s="72"/>
      <c r="AC31" s="146">
        <f>AB31/VLOOKUP(S31,Data!$H$22:$I$25,2,FALSE)</f>
        <v>0</v>
      </c>
      <c r="AD31" s="22" t="s">
        <v>157</v>
      </c>
      <c r="AE31" s="146">
        <f>VLOOKUP(S31,Data!$H$22:$J$25,3,FALSE)*T31</f>
        <v>894.18</v>
      </c>
      <c r="AF31" s="8">
        <f>VLOOKUP(S31,Data!$H$22:$I$25,2,FALSE)*AE31</f>
        <v>894.18</v>
      </c>
      <c r="AG31" s="8" t="s">
        <v>178</v>
      </c>
      <c r="AH31" s="23">
        <v>2.5000000000000001E-2</v>
      </c>
      <c r="AI31" s="72"/>
      <c r="AJ31" s="159">
        <f t="shared" si="10"/>
        <v>2.5000000000000001E-2</v>
      </c>
      <c r="AK31" s="168">
        <f t="shared" si="43"/>
        <v>745.15000000000009</v>
      </c>
      <c r="AL31" s="160">
        <f t="shared" si="44"/>
        <v>745.15000000000009</v>
      </c>
      <c r="AM31" s="168">
        <f t="shared" si="11"/>
        <v>30551.15</v>
      </c>
      <c r="AN31" s="160">
        <f t="shared" si="12"/>
        <v>30551.15</v>
      </c>
      <c r="AO31" s="160" t="str">
        <f t="shared" si="45"/>
        <v>No</v>
      </c>
      <c r="AP31" s="146">
        <f>IF(AQ31=0,0,AQ31/VLOOKUP(S31,Data!$H$22:$I$25,2,FALSE))</f>
        <v>0</v>
      </c>
      <c r="AQ31" s="183">
        <f t="shared" si="13"/>
        <v>0</v>
      </c>
      <c r="AR31" s="165">
        <f t="shared" si="14"/>
        <v>745.15000000000009</v>
      </c>
      <c r="AS31" s="183">
        <f t="shared" si="15"/>
        <v>745.15000000000009</v>
      </c>
      <c r="AT31" s="250">
        <f t="shared" si="16"/>
        <v>2.5000000000000001E-2</v>
      </c>
      <c r="AU31" s="146">
        <f t="shared" si="17"/>
        <v>30551.15</v>
      </c>
      <c r="AV31" s="8">
        <f t="shared" si="18"/>
        <v>30551.15</v>
      </c>
      <c r="AW31" s="8" t="str">
        <f t="shared" si="19"/>
        <v/>
      </c>
      <c r="AX31" s="180">
        <f t="shared" si="20"/>
        <v>0.88682583454281572</v>
      </c>
      <c r="AY31" s="146">
        <f t="shared" si="21"/>
        <v>0</v>
      </c>
      <c r="AZ31" s="146">
        <f t="shared" si="22"/>
        <v>0</v>
      </c>
      <c r="BA31" s="22" t="s">
        <v>159</v>
      </c>
      <c r="BB31" s="149"/>
      <c r="BC31" s="149"/>
      <c r="BD31" s="144"/>
      <c r="BE31" s="146" t="str">
        <f t="shared" si="23"/>
        <v/>
      </c>
      <c r="BF31" s="8" t="str">
        <f t="shared" si="24"/>
        <v/>
      </c>
      <c r="BG31" s="8" t="str">
        <f>IF(LEN(BC31)&gt;0,VLOOKUP(BC31,'Job Codes'!B24:I142,7,FALSE),"")</f>
        <v/>
      </c>
      <c r="BH31" s="192" t="str">
        <f>IF(LEN(BC31)&gt;0,VLOOKUP(BC31,'Job Codes'!B24:I142,8,FALSE),"")</f>
        <v/>
      </c>
      <c r="BI31" s="192" t="str">
        <f>IF(LEN(BC31)&gt;0,VLOOKUP(BC31,'Job Codes'!$B$2:$J$120,9,FALSE),"")</f>
        <v/>
      </c>
      <c r="BJ31" s="146" t="str">
        <f>IF(LEN(BC31)&gt;0,VLOOKUP(BC31,'Job Codes'!$B$2:$I$120,4,FALSE),"")</f>
        <v/>
      </c>
      <c r="BK31" s="146" t="str">
        <f>IF(LEN(BC31)&gt;0,VLOOKUP(BC31,'Job Codes'!$B$2:$I$120,5,FALSE),"")</f>
        <v/>
      </c>
      <c r="BL31" s="146" t="str">
        <f>IF(LEN(BC31)&gt;0,VLOOKUP(BC31,'Job Codes'!$B$2:$I$120,6,FALSE),"")</f>
        <v/>
      </c>
      <c r="BM31" s="168">
        <f t="shared" si="25"/>
        <v>30551.15</v>
      </c>
      <c r="BN31" s="160">
        <f t="shared" si="26"/>
        <v>30551.15</v>
      </c>
      <c r="BO31" s="22" t="s">
        <v>157</v>
      </c>
      <c r="BP31" s="157">
        <f>VLOOKUP(I31,'Job Codes'!$B$2:$I$120,8,FALSE)</f>
        <v>0.05</v>
      </c>
      <c r="BQ31" s="25" t="str">
        <f>IF(O31&gt;Data!$H$33,"Yes","No")</f>
        <v>No</v>
      </c>
      <c r="BR31" s="191">
        <v>0.05</v>
      </c>
      <c r="BS31" s="150">
        <f t="shared" si="27"/>
        <v>1490.3000000000002</v>
      </c>
      <c r="BT31" s="25">
        <f t="shared" si="28"/>
        <v>1490.3000000000002</v>
      </c>
      <c r="BU31" s="161">
        <v>1</v>
      </c>
      <c r="BV31" s="168">
        <f t="shared" si="29"/>
        <v>1490.3000000000002</v>
      </c>
      <c r="BW31" s="160">
        <f t="shared" si="30"/>
        <v>1490.3000000000002</v>
      </c>
      <c r="BX31" s="149"/>
      <c r="BY31" s="32">
        <f t="shared" si="31"/>
        <v>0</v>
      </c>
      <c r="BZ31" s="22" t="s">
        <v>159</v>
      </c>
      <c r="CA31" s="231">
        <f>VLOOKUP(I31,'Job Codes'!$B$2:$J$120,9,FALSE)</f>
        <v>0</v>
      </c>
      <c r="CB31" s="253">
        <f t="shared" si="32"/>
        <v>0</v>
      </c>
      <c r="CC31" s="72"/>
      <c r="CD31" s="25" t="str">
        <f t="shared" si="33"/>
        <v>Meets</v>
      </c>
      <c r="CE31" s="27"/>
      <c r="CF31" s="27"/>
      <c r="CG31" s="27"/>
      <c r="CH31" s="27"/>
      <c r="CI31" s="27"/>
      <c r="CJ31" s="3">
        <v>20714</v>
      </c>
      <c r="CK31" s="3" t="s">
        <v>198</v>
      </c>
      <c r="CL31" s="3">
        <v>4569</v>
      </c>
      <c r="CM31" s="3" t="s">
        <v>161</v>
      </c>
      <c r="CN31" s="3">
        <v>4571</v>
      </c>
      <c r="CO31" s="3" t="s">
        <v>162</v>
      </c>
      <c r="CP31" s="3">
        <v>12345</v>
      </c>
      <c r="CQ31" s="3" t="s">
        <v>163</v>
      </c>
      <c r="CR31" s="246" t="s">
        <v>166</v>
      </c>
      <c r="CS31" s="247" t="s">
        <v>167</v>
      </c>
      <c r="CT31" s="246" t="s">
        <v>199</v>
      </c>
      <c r="CU31" s="247" t="s">
        <v>200</v>
      </c>
      <c r="CV31" s="3" t="str">
        <f t="shared" si="34"/>
        <v>99485;36523</v>
      </c>
      <c r="CW31" s="3" t="s">
        <v>168</v>
      </c>
      <c r="CX31" s="3" t="str">
        <f t="shared" si="35"/>
        <v>;;BB31:BD31;;CC31</v>
      </c>
      <c r="CY31" s="5" t="str">
        <f t="shared" si="36"/>
        <v>Unlock</v>
      </c>
      <c r="CZ31" s="5" t="str">
        <f t="shared" si="37"/>
        <v>Lock</v>
      </c>
      <c r="DA31" s="5" t="str">
        <f t="shared" si="38"/>
        <v>Lock</v>
      </c>
      <c r="DB31" s="5" t="str">
        <f t="shared" si="39"/>
        <v>Lock</v>
      </c>
      <c r="DC31" s="5" t="str">
        <f t="shared" si="40"/>
        <v>Lock</v>
      </c>
      <c r="DD31" s="78">
        <f t="shared" si="41"/>
        <v>2</v>
      </c>
      <c r="DE31" s="2"/>
      <c r="DF31" s="2"/>
      <c r="DG31" s="2"/>
      <c r="DH31" s="2"/>
      <c r="DI31" s="2"/>
      <c r="DJ31" s="2"/>
      <c r="DK31" s="5"/>
      <c r="DL31" s="2"/>
      <c r="DM31" s="2"/>
      <c r="DN31" s="2"/>
      <c r="DO31" s="2"/>
      <c r="DP31" s="2"/>
      <c r="DQ31" s="2"/>
      <c r="DR31" s="2"/>
      <c r="DS31" s="2"/>
      <c r="DT31" s="2"/>
      <c r="DU31" s="2"/>
      <c r="DV31" s="2"/>
      <c r="DW31" s="2"/>
      <c r="DX31" s="2"/>
      <c r="DY31" s="2"/>
      <c r="DZ31" s="2"/>
      <c r="EA31" s="2"/>
      <c r="EB31" s="2"/>
      <c r="EC31" s="2"/>
      <c r="ED31" s="2"/>
      <c r="EE31" s="2"/>
      <c r="EF31" s="1"/>
      <c r="EG31" s="98"/>
      <c r="EH31" s="98"/>
      <c r="EI31" s="1"/>
      <c r="EJ31" s="1"/>
      <c r="EK31" s="98"/>
      <c r="EL31" s="1"/>
    </row>
    <row r="32" spans="1:142">
      <c r="A32" s="32">
        <f t="shared" si="0"/>
        <v>2048</v>
      </c>
      <c r="B32" s="3" t="str">
        <f t="shared" si="1"/>
        <v>sv_statement//Statement//Export Statement&amp;PDFID=Jane Hendrick_2048&amp;SO=Y</v>
      </c>
      <c r="C32" s="5" t="str">
        <f t="shared" si="42"/>
        <v>Statement</v>
      </c>
      <c r="D32" s="5" t="str">
        <f t="shared" si="2"/>
        <v>Jane Hendrick_2048</v>
      </c>
      <c r="E32" s="5"/>
      <c r="F32" s="5">
        <v>2048</v>
      </c>
      <c r="G32" s="22" t="s">
        <v>230</v>
      </c>
      <c r="H32" s="5" t="s">
        <v>195</v>
      </c>
      <c r="I32" s="5" t="s">
        <v>231</v>
      </c>
      <c r="J32" s="5" t="s">
        <v>208</v>
      </c>
      <c r="K32" s="5" t="s">
        <v>211</v>
      </c>
      <c r="L32" s="31">
        <f t="shared" si="3"/>
        <v>11498</v>
      </c>
      <c r="M32" s="5" t="s">
        <v>197</v>
      </c>
      <c r="N32" s="22" t="s">
        <v>155</v>
      </c>
      <c r="O32" s="100">
        <v>36976</v>
      </c>
      <c r="P32" s="146">
        <f>VLOOKUP(I32,'Job Codes'!$B$2:$I$120,4,FALSE)</f>
        <v>26500</v>
      </c>
      <c r="Q32" s="146">
        <f>VLOOKUP(I32,'Job Codes'!$B$2:$I$120,5,FALSE)</f>
        <v>34450</v>
      </c>
      <c r="R32" s="146">
        <f>VLOOKUP(I32,'Job Codes'!$B$2:$I$120,6,FALSE)</f>
        <v>41340</v>
      </c>
      <c r="S32" s="22" t="s">
        <v>171</v>
      </c>
      <c r="T32" s="146">
        <v>29598</v>
      </c>
      <c r="U32" s="8">
        <f>VLOOKUP(S32,Data!$H$22:$I$25,2,FALSE)*T32</f>
        <v>29598</v>
      </c>
      <c r="V32" s="180">
        <f t="shared" si="4"/>
        <v>0.85915820029027579</v>
      </c>
      <c r="W32" s="180">
        <f t="shared" si="5"/>
        <v>0.16392999526995067</v>
      </c>
      <c r="X32" s="22" t="str">
        <f t="shared" si="6"/>
        <v>Yes</v>
      </c>
      <c r="Y32" s="180">
        <f t="shared" si="7"/>
        <v>0.02</v>
      </c>
      <c r="Z32" s="146">
        <f t="shared" si="8"/>
        <v>591.96</v>
      </c>
      <c r="AA32" s="146">
        <f t="shared" si="9"/>
        <v>591.96</v>
      </c>
      <c r="AB32" s="72"/>
      <c r="AC32" s="146">
        <f>AB32/VLOOKUP(S32,Data!$H$22:$I$25,2,FALSE)</f>
        <v>0</v>
      </c>
      <c r="AD32" s="22" t="s">
        <v>157</v>
      </c>
      <c r="AE32" s="146">
        <f>VLOOKUP(S32,Data!$H$22:$J$25,3,FALSE)*T32</f>
        <v>887.93999999999994</v>
      </c>
      <c r="AF32" s="8">
        <f>VLOOKUP(S32,Data!$H$22:$I$25,2,FALSE)*AE32</f>
        <v>887.93999999999994</v>
      </c>
      <c r="AG32" s="8" t="s">
        <v>178</v>
      </c>
      <c r="AH32" s="23">
        <v>2.5000000000000001E-2</v>
      </c>
      <c r="AI32" s="72"/>
      <c r="AJ32" s="159">
        <f t="shared" si="10"/>
        <v>2.5000000000000001E-2</v>
      </c>
      <c r="AK32" s="168">
        <f t="shared" si="43"/>
        <v>739.95</v>
      </c>
      <c r="AL32" s="160">
        <f t="shared" si="44"/>
        <v>739.95</v>
      </c>
      <c r="AM32" s="168">
        <f t="shared" si="11"/>
        <v>30337.95</v>
      </c>
      <c r="AN32" s="160">
        <f t="shared" si="12"/>
        <v>30337.95</v>
      </c>
      <c r="AO32" s="160" t="str">
        <f t="shared" si="45"/>
        <v>No</v>
      </c>
      <c r="AP32" s="146">
        <f>IF(AQ32=0,0,AQ32/VLOOKUP(S32,Data!$H$22:$I$25,2,FALSE))</f>
        <v>0</v>
      </c>
      <c r="AQ32" s="183">
        <f t="shared" si="13"/>
        <v>0</v>
      </c>
      <c r="AR32" s="165">
        <f t="shared" si="14"/>
        <v>739.95</v>
      </c>
      <c r="AS32" s="183">
        <f t="shared" si="15"/>
        <v>739.95</v>
      </c>
      <c r="AT32" s="250">
        <f t="shared" si="16"/>
        <v>2.5000000000000001E-2</v>
      </c>
      <c r="AU32" s="146">
        <f t="shared" si="17"/>
        <v>30337.95</v>
      </c>
      <c r="AV32" s="8">
        <f t="shared" si="18"/>
        <v>30337.95</v>
      </c>
      <c r="AW32" s="8" t="str">
        <f t="shared" si="19"/>
        <v/>
      </c>
      <c r="AX32" s="180">
        <f t="shared" si="20"/>
        <v>0.88063715529753273</v>
      </c>
      <c r="AY32" s="146">
        <f t="shared" si="21"/>
        <v>0</v>
      </c>
      <c r="AZ32" s="146">
        <f t="shared" si="22"/>
        <v>0</v>
      </c>
      <c r="BA32" s="22" t="s">
        <v>159</v>
      </c>
      <c r="BB32" s="149"/>
      <c r="BC32" s="149"/>
      <c r="BD32" s="144"/>
      <c r="BE32" s="146" t="str">
        <f t="shared" si="23"/>
        <v/>
      </c>
      <c r="BF32" s="8" t="str">
        <f t="shared" si="24"/>
        <v/>
      </c>
      <c r="BG32" s="8" t="str">
        <f>IF(LEN(BC32)&gt;0,VLOOKUP(BC32,'Job Codes'!B25:I143,7,FALSE),"")</f>
        <v/>
      </c>
      <c r="BH32" s="192" t="str">
        <f>IF(LEN(BC32)&gt;0,VLOOKUP(BC32,'Job Codes'!B25:I143,8,FALSE),"")</f>
        <v/>
      </c>
      <c r="BI32" s="192" t="str">
        <f>IF(LEN(BC32)&gt;0,VLOOKUP(BC32,'Job Codes'!$B$2:$J$120,9,FALSE),"")</f>
        <v/>
      </c>
      <c r="BJ32" s="146" t="str">
        <f>IF(LEN(BC32)&gt;0,VLOOKUP(BC32,'Job Codes'!$B$2:$I$120,4,FALSE),"")</f>
        <v/>
      </c>
      <c r="BK32" s="146" t="str">
        <f>IF(LEN(BC32)&gt;0,VLOOKUP(BC32,'Job Codes'!$B$2:$I$120,5,FALSE),"")</f>
        <v/>
      </c>
      <c r="BL32" s="146" t="str">
        <f>IF(LEN(BC32)&gt;0,VLOOKUP(BC32,'Job Codes'!$B$2:$I$120,6,FALSE),"")</f>
        <v/>
      </c>
      <c r="BM32" s="168">
        <f t="shared" si="25"/>
        <v>30337.95</v>
      </c>
      <c r="BN32" s="160">
        <f t="shared" si="26"/>
        <v>30337.95</v>
      </c>
      <c r="BO32" s="22" t="s">
        <v>157</v>
      </c>
      <c r="BP32" s="157">
        <f>VLOOKUP(I32,'Job Codes'!$B$2:$I$120,8,FALSE)</f>
        <v>0.05</v>
      </c>
      <c r="BQ32" s="25" t="str">
        <f>IF(O32&gt;Data!$H$33,"Yes","No")</f>
        <v>No</v>
      </c>
      <c r="BR32" s="191">
        <v>0.05</v>
      </c>
      <c r="BS32" s="150">
        <f t="shared" si="27"/>
        <v>1479.9</v>
      </c>
      <c r="BT32" s="25">
        <f t="shared" si="28"/>
        <v>1479.9</v>
      </c>
      <c r="BU32" s="161">
        <v>1</v>
      </c>
      <c r="BV32" s="168">
        <f t="shared" si="29"/>
        <v>1479.9</v>
      </c>
      <c r="BW32" s="160">
        <f t="shared" si="30"/>
        <v>1479.9</v>
      </c>
      <c r="BX32" s="149"/>
      <c r="BY32" s="32">
        <f t="shared" si="31"/>
        <v>0</v>
      </c>
      <c r="BZ32" s="22" t="s">
        <v>159</v>
      </c>
      <c r="CA32" s="231">
        <f>VLOOKUP(I32,'Job Codes'!$B$2:$J$120,9,FALSE)</f>
        <v>0</v>
      </c>
      <c r="CB32" s="253">
        <f t="shared" si="32"/>
        <v>0</v>
      </c>
      <c r="CC32" s="72"/>
      <c r="CD32" s="25" t="str">
        <f t="shared" si="33"/>
        <v>Meets</v>
      </c>
      <c r="CE32" s="27"/>
      <c r="CF32" s="27"/>
      <c r="CG32" s="27"/>
      <c r="CH32" s="27"/>
      <c r="CI32" s="27"/>
      <c r="CJ32" s="3">
        <v>20714</v>
      </c>
      <c r="CK32" s="3" t="s">
        <v>198</v>
      </c>
      <c r="CL32" s="3">
        <v>4569</v>
      </c>
      <c r="CM32" s="3" t="s">
        <v>161</v>
      </c>
      <c r="CN32" s="3">
        <v>4571</v>
      </c>
      <c r="CO32" s="3" t="s">
        <v>162</v>
      </c>
      <c r="CP32" s="3">
        <v>12345</v>
      </c>
      <c r="CQ32" s="3" t="s">
        <v>163</v>
      </c>
      <c r="CR32" s="246" t="s">
        <v>166</v>
      </c>
      <c r="CS32" s="247" t="s">
        <v>167</v>
      </c>
      <c r="CT32" s="246" t="s">
        <v>199</v>
      </c>
      <c r="CU32" s="247" t="s">
        <v>200</v>
      </c>
      <c r="CV32" s="3" t="str">
        <f t="shared" si="34"/>
        <v>99485;36523</v>
      </c>
      <c r="CW32" s="3" t="s">
        <v>168</v>
      </c>
      <c r="CX32" s="3" t="str">
        <f t="shared" si="35"/>
        <v>;;BB32:BD32;;CC32</v>
      </c>
      <c r="CY32" s="5" t="str">
        <f t="shared" si="36"/>
        <v>Unlock</v>
      </c>
      <c r="CZ32" s="5" t="str">
        <f t="shared" si="37"/>
        <v>Lock</v>
      </c>
      <c r="DA32" s="5" t="str">
        <f t="shared" si="38"/>
        <v>Lock</v>
      </c>
      <c r="DB32" s="5" t="str">
        <f t="shared" si="39"/>
        <v>Lock</v>
      </c>
      <c r="DC32" s="5" t="str">
        <f t="shared" si="40"/>
        <v>Lock</v>
      </c>
      <c r="DD32" s="78">
        <f t="shared" si="41"/>
        <v>2</v>
      </c>
      <c r="DE32" s="2"/>
      <c r="DF32" s="2"/>
      <c r="DG32" s="2"/>
      <c r="DH32" s="2"/>
      <c r="DI32" s="2"/>
      <c r="DJ32" s="2"/>
      <c r="DK32" s="5"/>
      <c r="DL32" s="2"/>
      <c r="DM32" s="2"/>
      <c r="DN32" s="2"/>
      <c r="DO32" s="2"/>
      <c r="DP32" s="2"/>
      <c r="DQ32" s="2"/>
      <c r="DR32" s="2"/>
      <c r="DS32" s="2"/>
      <c r="DT32" s="2"/>
      <c r="DU32" s="2"/>
      <c r="DV32" s="2"/>
      <c r="DW32" s="2"/>
      <c r="DX32" s="2"/>
      <c r="DY32" s="2"/>
      <c r="DZ32" s="2"/>
      <c r="EA32" s="2"/>
      <c r="EB32" s="2"/>
      <c r="EC32" s="2"/>
      <c r="ED32" s="2"/>
      <c r="EE32" s="2"/>
      <c r="EF32" s="1"/>
      <c r="EG32" s="98"/>
      <c r="EH32" s="98"/>
      <c r="EI32" s="1"/>
      <c r="EJ32" s="1"/>
      <c r="EK32" s="98"/>
      <c r="EL32" s="1"/>
    </row>
    <row r="33" spans="1:142">
      <c r="A33" s="32">
        <f t="shared" si="0"/>
        <v>2280</v>
      </c>
      <c r="B33" s="3" t="str">
        <f t="shared" si="1"/>
        <v>sv_statement//Statement//Export Statement&amp;PDFID=Christopher Abram_2280&amp;SO=Y</v>
      </c>
      <c r="C33" s="5" t="str">
        <f t="shared" si="42"/>
        <v>Statement</v>
      </c>
      <c r="D33" s="5" t="str">
        <f t="shared" si="2"/>
        <v>Christopher Abram_2280</v>
      </c>
      <c r="E33" s="5"/>
      <c r="F33" s="5">
        <v>2280</v>
      </c>
      <c r="G33" s="22" t="s">
        <v>232</v>
      </c>
      <c r="H33" s="5" t="s">
        <v>150</v>
      </c>
      <c r="I33" s="5" t="s">
        <v>205</v>
      </c>
      <c r="J33" s="5" t="s">
        <v>208</v>
      </c>
      <c r="K33" s="5" t="s">
        <v>211</v>
      </c>
      <c r="L33" s="31">
        <f t="shared" si="3"/>
        <v>11308</v>
      </c>
      <c r="M33" s="5" t="s">
        <v>154</v>
      </c>
      <c r="N33" s="22" t="s">
        <v>155</v>
      </c>
      <c r="O33" s="100">
        <v>37116</v>
      </c>
      <c r="P33" s="146">
        <f>VLOOKUP(I33,'Job Codes'!$B$2:$I$120,4,FALSE)</f>
        <v>29000</v>
      </c>
      <c r="Q33" s="146">
        <f>VLOOKUP(I33,'Job Codes'!$B$2:$I$120,5,FALSE)</f>
        <v>37700</v>
      </c>
      <c r="R33" s="146">
        <f>VLOOKUP(I33,'Job Codes'!$B$2:$I$120,6,FALSE)</f>
        <v>45240</v>
      </c>
      <c r="S33" s="22" t="s">
        <v>171</v>
      </c>
      <c r="T33" s="146">
        <v>31054</v>
      </c>
      <c r="U33" s="8">
        <f>VLOOKUP(S33,Data!$H$22:$I$25,2,FALSE)*T33</f>
        <v>31054</v>
      </c>
      <c r="V33" s="180">
        <f t="shared" si="4"/>
        <v>0.8237135278514589</v>
      </c>
      <c r="W33" s="180">
        <f t="shared" si="5"/>
        <v>0.2140142976750177</v>
      </c>
      <c r="X33" s="22" t="str">
        <f t="shared" si="6"/>
        <v>Yes</v>
      </c>
      <c r="Y33" s="180">
        <f t="shared" si="7"/>
        <v>0.02</v>
      </c>
      <c r="Z33" s="146">
        <f t="shared" si="8"/>
        <v>621.08000000000004</v>
      </c>
      <c r="AA33" s="146">
        <f t="shared" si="9"/>
        <v>621.08000000000004</v>
      </c>
      <c r="AB33" s="72"/>
      <c r="AC33" s="146">
        <f>AB33/VLOOKUP(S33,Data!$H$22:$I$25,2,FALSE)</f>
        <v>0</v>
      </c>
      <c r="AD33" s="22" t="s">
        <v>157</v>
      </c>
      <c r="AE33" s="146">
        <f>VLOOKUP(S33,Data!$H$22:$J$25,3,FALSE)*T33</f>
        <v>931.62</v>
      </c>
      <c r="AF33" s="8">
        <f>VLOOKUP(S33,Data!$H$22:$I$25,2,FALSE)*AE33</f>
        <v>931.62</v>
      </c>
      <c r="AG33" s="8" t="s">
        <v>178</v>
      </c>
      <c r="AH33" s="23"/>
      <c r="AI33" s="72"/>
      <c r="AJ33" s="159">
        <f t="shared" si="10"/>
        <v>0</v>
      </c>
      <c r="AK33" s="168">
        <f t="shared" si="43"/>
        <v>0</v>
      </c>
      <c r="AL33" s="160">
        <f t="shared" si="44"/>
        <v>0</v>
      </c>
      <c r="AM33" s="168">
        <f t="shared" si="11"/>
        <v>31054</v>
      </c>
      <c r="AN33" s="160">
        <f t="shared" si="12"/>
        <v>31054</v>
      </c>
      <c r="AO33" s="160" t="str">
        <f t="shared" si="45"/>
        <v>No</v>
      </c>
      <c r="AP33" s="146">
        <f>IF(AQ33=0,0,AQ33/VLOOKUP(S33,Data!$H$22:$I$25,2,FALSE))</f>
        <v>0</v>
      </c>
      <c r="AQ33" s="183">
        <f t="shared" si="13"/>
        <v>0</v>
      </c>
      <c r="AR33" s="165">
        <f t="shared" si="14"/>
        <v>0</v>
      </c>
      <c r="AS33" s="183">
        <f t="shared" si="15"/>
        <v>0</v>
      </c>
      <c r="AT33" s="250">
        <f t="shared" si="16"/>
        <v>0</v>
      </c>
      <c r="AU33" s="146">
        <f t="shared" si="17"/>
        <v>31054</v>
      </c>
      <c r="AV33" s="8">
        <f t="shared" si="18"/>
        <v>31054</v>
      </c>
      <c r="AW33" s="8" t="str">
        <f t="shared" si="19"/>
        <v>Not within guidelines</v>
      </c>
      <c r="AX33" s="180">
        <f t="shared" si="20"/>
        <v>0.8237135278514589</v>
      </c>
      <c r="AY33" s="146">
        <f t="shared" si="21"/>
        <v>1</v>
      </c>
      <c r="AZ33" s="146">
        <f t="shared" si="22"/>
        <v>1</v>
      </c>
      <c r="BA33" s="22" t="s">
        <v>159</v>
      </c>
      <c r="BB33" s="149"/>
      <c r="BC33" s="149"/>
      <c r="BD33" s="144"/>
      <c r="BE33" s="146" t="str">
        <f t="shared" si="23"/>
        <v/>
      </c>
      <c r="BF33" s="8" t="str">
        <f t="shared" si="24"/>
        <v/>
      </c>
      <c r="BG33" s="8" t="str">
        <f>IF(LEN(BC33)&gt;0,VLOOKUP(BC33,'Job Codes'!B26:I144,7,FALSE),"")</f>
        <v/>
      </c>
      <c r="BH33" s="192" t="str">
        <f>IF(LEN(BC33)&gt;0,VLOOKUP(BC33,'Job Codes'!B26:I144,8,FALSE),"")</f>
        <v/>
      </c>
      <c r="BI33" s="192" t="str">
        <f>IF(LEN(BC33)&gt;0,VLOOKUP(BC33,'Job Codes'!$B$2:$J$120,9,FALSE),"")</f>
        <v/>
      </c>
      <c r="BJ33" s="146" t="str">
        <f>IF(LEN(BC33)&gt;0,VLOOKUP(BC33,'Job Codes'!$B$2:$I$120,4,FALSE),"")</f>
        <v/>
      </c>
      <c r="BK33" s="146" t="str">
        <f>IF(LEN(BC33)&gt;0,VLOOKUP(BC33,'Job Codes'!$B$2:$I$120,5,FALSE),"")</f>
        <v/>
      </c>
      <c r="BL33" s="146" t="str">
        <f>IF(LEN(BC33)&gt;0,VLOOKUP(BC33,'Job Codes'!$B$2:$I$120,6,FALSE),"")</f>
        <v/>
      </c>
      <c r="BM33" s="168">
        <f t="shared" si="25"/>
        <v>31054</v>
      </c>
      <c r="BN33" s="160">
        <f t="shared" si="26"/>
        <v>31054</v>
      </c>
      <c r="BO33" s="22" t="s">
        <v>157</v>
      </c>
      <c r="BP33" s="157">
        <f>VLOOKUP(I33,'Job Codes'!$B$2:$I$120,8,FALSE)</f>
        <v>0.1</v>
      </c>
      <c r="BQ33" s="25" t="str">
        <f>IF(O33&gt;Data!$H$33,"Yes","No")</f>
        <v>No</v>
      </c>
      <c r="BR33" s="191">
        <v>0.1</v>
      </c>
      <c r="BS33" s="150">
        <f t="shared" si="27"/>
        <v>3105.4</v>
      </c>
      <c r="BT33" s="25">
        <f t="shared" si="28"/>
        <v>3105.4</v>
      </c>
      <c r="BU33" s="161">
        <v>1</v>
      </c>
      <c r="BV33" s="168">
        <f t="shared" si="29"/>
        <v>3105.4</v>
      </c>
      <c r="BW33" s="160">
        <f t="shared" si="30"/>
        <v>3105.4</v>
      </c>
      <c r="BX33" s="149"/>
      <c r="BY33" s="32">
        <f t="shared" si="31"/>
        <v>0</v>
      </c>
      <c r="BZ33" s="22" t="s">
        <v>157</v>
      </c>
      <c r="CA33" s="231">
        <f>VLOOKUP(I33,'Job Codes'!$B$2:$J$120,9,FALSE)</f>
        <v>0.05</v>
      </c>
      <c r="CB33" s="253">
        <f t="shared" si="32"/>
        <v>1552.7</v>
      </c>
      <c r="CC33" s="72"/>
      <c r="CD33" s="25" t="str">
        <f t="shared" si="33"/>
        <v>Meets</v>
      </c>
      <c r="CE33" s="27"/>
      <c r="CF33" s="27"/>
      <c r="CG33" s="27"/>
      <c r="CH33" s="27"/>
      <c r="CI33" s="27"/>
      <c r="CJ33" s="3"/>
      <c r="CK33" s="3"/>
      <c r="CL33" s="3">
        <v>4569</v>
      </c>
      <c r="CM33" s="3" t="s">
        <v>161</v>
      </c>
      <c r="CN33" s="3">
        <v>4571</v>
      </c>
      <c r="CO33" s="3" t="s">
        <v>162</v>
      </c>
      <c r="CP33" s="3">
        <v>12345</v>
      </c>
      <c r="CQ33" s="3" t="s">
        <v>163</v>
      </c>
      <c r="CR33" s="246" t="s">
        <v>164</v>
      </c>
      <c r="CS33" s="247" t="s">
        <v>165</v>
      </c>
      <c r="CT33" s="246" t="s">
        <v>166</v>
      </c>
      <c r="CU33" s="247" t="s">
        <v>167</v>
      </c>
      <c r="CV33" s="3" t="str">
        <f t="shared" si="34"/>
        <v>67890;99485</v>
      </c>
      <c r="CW33" s="3" t="s">
        <v>168</v>
      </c>
      <c r="CX33" s="3" t="str">
        <f t="shared" si="35"/>
        <v>;;BB33:BD33;;</v>
      </c>
      <c r="CY33" s="5" t="str">
        <f t="shared" si="36"/>
        <v>Unlock</v>
      </c>
      <c r="CZ33" s="5" t="str">
        <f t="shared" si="37"/>
        <v>Lock</v>
      </c>
      <c r="DA33" s="5" t="str">
        <f t="shared" si="38"/>
        <v>Lock</v>
      </c>
      <c r="DB33" s="5" t="str">
        <f t="shared" si="39"/>
        <v>Lock</v>
      </c>
      <c r="DC33" s="5" t="str">
        <f t="shared" si="40"/>
        <v>Lock</v>
      </c>
      <c r="DD33" s="78">
        <f t="shared" si="41"/>
        <v>3</v>
      </c>
      <c r="DE33" s="2"/>
      <c r="DF33" s="2"/>
      <c r="DG33" s="2"/>
      <c r="DH33" s="2"/>
      <c r="DI33" s="2"/>
      <c r="DJ33" s="2"/>
      <c r="DK33" s="5"/>
      <c r="DL33" s="2"/>
      <c r="DM33" s="2"/>
      <c r="DN33" s="2"/>
      <c r="DO33" s="2"/>
      <c r="DP33" s="2"/>
      <c r="DQ33" s="2"/>
      <c r="DR33" s="2"/>
      <c r="DS33" s="2"/>
      <c r="DT33" s="2"/>
      <c r="DU33" s="2"/>
      <c r="DV33" s="2"/>
      <c r="DW33" s="2"/>
      <c r="DX33" s="2"/>
      <c r="DY33" s="2"/>
      <c r="DZ33" s="2"/>
      <c r="EA33" s="2"/>
      <c r="EB33" s="2"/>
      <c r="EC33" s="2"/>
      <c r="ED33" s="2"/>
      <c r="EE33" s="2"/>
      <c r="EF33" s="1"/>
      <c r="EG33" s="98"/>
      <c r="EH33" s="98"/>
      <c r="EI33" s="1"/>
      <c r="EJ33" s="1"/>
      <c r="EK33" s="98"/>
      <c r="EL33" s="1"/>
    </row>
    <row r="34" spans="1:142">
      <c r="A34" s="32">
        <f t="shared" si="0"/>
        <v>2314</v>
      </c>
      <c r="B34" s="3" t="str">
        <f t="shared" si="1"/>
        <v>sv_statement//Statement//Export Statement&amp;PDFID=Tanya Westphal_2314&amp;SO=Y</v>
      </c>
      <c r="C34" s="5" t="str">
        <f t="shared" si="42"/>
        <v>Statement</v>
      </c>
      <c r="D34" s="5" t="str">
        <f t="shared" si="2"/>
        <v>Tanya Westphal_2314</v>
      </c>
      <c r="E34" s="5"/>
      <c r="F34" s="5">
        <v>2314</v>
      </c>
      <c r="G34" s="22" t="s">
        <v>233</v>
      </c>
      <c r="H34" s="5" t="s">
        <v>195</v>
      </c>
      <c r="I34" s="5" t="s">
        <v>234</v>
      </c>
      <c r="J34" s="5" t="s">
        <v>208</v>
      </c>
      <c r="K34" s="5" t="s">
        <v>211</v>
      </c>
      <c r="L34" s="31">
        <f t="shared" si="3"/>
        <v>11498</v>
      </c>
      <c r="M34" s="5" t="s">
        <v>197</v>
      </c>
      <c r="N34" s="22" t="s">
        <v>155</v>
      </c>
      <c r="O34" s="100">
        <v>36557</v>
      </c>
      <c r="P34" s="146">
        <f>VLOOKUP(I34,'Job Codes'!$B$2:$I$120,4,FALSE)</f>
        <v>26500</v>
      </c>
      <c r="Q34" s="146">
        <f>VLOOKUP(I34,'Job Codes'!$B$2:$I$120,5,FALSE)</f>
        <v>34450</v>
      </c>
      <c r="R34" s="146">
        <f>VLOOKUP(I34,'Job Codes'!$B$2:$I$120,6,FALSE)</f>
        <v>41340</v>
      </c>
      <c r="S34" s="22" t="s">
        <v>171</v>
      </c>
      <c r="T34" s="146">
        <v>28000</v>
      </c>
      <c r="U34" s="8">
        <f>VLOOKUP(S34,Data!$H$22:$I$25,2,FALSE)*T34</f>
        <v>28000</v>
      </c>
      <c r="V34" s="180">
        <f t="shared" si="4"/>
        <v>0.81277213352685052</v>
      </c>
      <c r="W34" s="180">
        <f t="shared" si="5"/>
        <v>0.23035714285714284</v>
      </c>
      <c r="X34" s="22" t="str">
        <f t="shared" si="6"/>
        <v>Yes</v>
      </c>
      <c r="Y34" s="180">
        <f t="shared" si="7"/>
        <v>0.02</v>
      </c>
      <c r="Z34" s="146">
        <f t="shared" si="8"/>
        <v>560</v>
      </c>
      <c r="AA34" s="146">
        <f t="shared" si="9"/>
        <v>560</v>
      </c>
      <c r="AB34" s="72"/>
      <c r="AC34" s="146">
        <f>AB34/VLOOKUP(S34,Data!$H$22:$I$25,2,FALSE)</f>
        <v>0</v>
      </c>
      <c r="AD34" s="22" t="s">
        <v>157</v>
      </c>
      <c r="AE34" s="146">
        <f>VLOOKUP(S34,Data!$H$22:$J$25,3,FALSE)*T34</f>
        <v>840</v>
      </c>
      <c r="AF34" s="8">
        <f>VLOOKUP(S34,Data!$H$22:$I$25,2,FALSE)*AE34</f>
        <v>840</v>
      </c>
      <c r="AG34" s="8" t="s">
        <v>178</v>
      </c>
      <c r="AH34" s="23">
        <v>0.02</v>
      </c>
      <c r="AI34" s="72"/>
      <c r="AJ34" s="159">
        <f t="shared" si="10"/>
        <v>0.02</v>
      </c>
      <c r="AK34" s="168">
        <f t="shared" si="43"/>
        <v>560</v>
      </c>
      <c r="AL34" s="160">
        <f t="shared" si="44"/>
        <v>560</v>
      </c>
      <c r="AM34" s="168">
        <f t="shared" si="11"/>
        <v>28560</v>
      </c>
      <c r="AN34" s="160">
        <f t="shared" si="12"/>
        <v>28560</v>
      </c>
      <c r="AO34" s="160" t="str">
        <f t="shared" si="45"/>
        <v>No</v>
      </c>
      <c r="AP34" s="146">
        <f>IF(AQ34=0,0,AQ34/VLOOKUP(S34,Data!$H$22:$I$25,2,FALSE))</f>
        <v>0</v>
      </c>
      <c r="AQ34" s="183">
        <f t="shared" si="13"/>
        <v>0</v>
      </c>
      <c r="AR34" s="165">
        <f t="shared" si="14"/>
        <v>560</v>
      </c>
      <c r="AS34" s="183">
        <f t="shared" si="15"/>
        <v>560</v>
      </c>
      <c r="AT34" s="250">
        <f t="shared" si="16"/>
        <v>0.02</v>
      </c>
      <c r="AU34" s="146">
        <f t="shared" si="17"/>
        <v>28560</v>
      </c>
      <c r="AV34" s="8">
        <f t="shared" si="18"/>
        <v>28560</v>
      </c>
      <c r="AW34" s="8" t="str">
        <f t="shared" si="19"/>
        <v/>
      </c>
      <c r="AX34" s="180">
        <f t="shared" si="20"/>
        <v>0.82902757619738754</v>
      </c>
      <c r="AY34" s="146">
        <f t="shared" si="21"/>
        <v>0</v>
      </c>
      <c r="AZ34" s="146">
        <f t="shared" si="22"/>
        <v>0</v>
      </c>
      <c r="BA34" s="22" t="s">
        <v>159</v>
      </c>
      <c r="BB34" s="149"/>
      <c r="BC34" s="149"/>
      <c r="BD34" s="144"/>
      <c r="BE34" s="146" t="str">
        <f t="shared" si="23"/>
        <v/>
      </c>
      <c r="BF34" s="8" t="str">
        <f t="shared" si="24"/>
        <v/>
      </c>
      <c r="BG34" s="8" t="str">
        <f>IF(LEN(BC34)&gt;0,VLOOKUP(BC34,'Job Codes'!B27:I145,7,FALSE),"")</f>
        <v/>
      </c>
      <c r="BH34" s="192" t="str">
        <f>IF(LEN(BC34)&gt;0,VLOOKUP(BC34,'Job Codes'!B27:I145,8,FALSE),"")</f>
        <v/>
      </c>
      <c r="BI34" s="192" t="str">
        <f>IF(LEN(BC34)&gt;0,VLOOKUP(BC34,'Job Codes'!$B$2:$J$120,9,FALSE),"")</f>
        <v/>
      </c>
      <c r="BJ34" s="146" t="str">
        <f>IF(LEN(BC34)&gt;0,VLOOKUP(BC34,'Job Codes'!$B$2:$I$120,4,FALSE),"")</f>
        <v/>
      </c>
      <c r="BK34" s="146" t="str">
        <f>IF(LEN(BC34)&gt;0,VLOOKUP(BC34,'Job Codes'!$B$2:$I$120,5,FALSE),"")</f>
        <v/>
      </c>
      <c r="BL34" s="146" t="str">
        <f>IF(LEN(BC34)&gt;0,VLOOKUP(BC34,'Job Codes'!$B$2:$I$120,6,FALSE),"")</f>
        <v/>
      </c>
      <c r="BM34" s="168">
        <f t="shared" si="25"/>
        <v>28560</v>
      </c>
      <c r="BN34" s="160">
        <f t="shared" si="26"/>
        <v>28560</v>
      </c>
      <c r="BO34" s="22" t="s">
        <v>157</v>
      </c>
      <c r="BP34" s="157">
        <f>VLOOKUP(I34,'Job Codes'!$B$2:$I$120,8,FALSE)</f>
        <v>0.05</v>
      </c>
      <c r="BQ34" s="25" t="str">
        <f>IF(O34&gt;Data!$H$33,"Yes","No")</f>
        <v>No</v>
      </c>
      <c r="BR34" s="191">
        <v>0.05</v>
      </c>
      <c r="BS34" s="150">
        <f t="shared" si="27"/>
        <v>1400</v>
      </c>
      <c r="BT34" s="25">
        <f t="shared" si="28"/>
        <v>1400</v>
      </c>
      <c r="BU34" s="161">
        <v>1</v>
      </c>
      <c r="BV34" s="168">
        <f t="shared" si="29"/>
        <v>1400</v>
      </c>
      <c r="BW34" s="160">
        <f t="shared" si="30"/>
        <v>1400</v>
      </c>
      <c r="BX34" s="149"/>
      <c r="BY34" s="32">
        <f t="shared" si="31"/>
        <v>0</v>
      </c>
      <c r="BZ34" s="22" t="s">
        <v>159</v>
      </c>
      <c r="CA34" s="231">
        <f>VLOOKUP(I34,'Job Codes'!$B$2:$J$120,9,FALSE)</f>
        <v>0</v>
      </c>
      <c r="CB34" s="253">
        <f t="shared" si="32"/>
        <v>0</v>
      </c>
      <c r="CC34" s="72"/>
      <c r="CD34" s="25" t="str">
        <f t="shared" si="33"/>
        <v>Meets</v>
      </c>
      <c r="CE34" s="27"/>
      <c r="CF34" s="27"/>
      <c r="CG34" s="27"/>
      <c r="CH34" s="27"/>
      <c r="CI34" s="27"/>
      <c r="CJ34" s="3">
        <v>20714</v>
      </c>
      <c r="CK34" s="3" t="s">
        <v>198</v>
      </c>
      <c r="CL34" s="3">
        <v>4569</v>
      </c>
      <c r="CM34" s="3" t="s">
        <v>161</v>
      </c>
      <c r="CN34" s="3">
        <v>4571</v>
      </c>
      <c r="CO34" s="3" t="s">
        <v>162</v>
      </c>
      <c r="CP34" s="3">
        <v>12345</v>
      </c>
      <c r="CQ34" s="3" t="s">
        <v>163</v>
      </c>
      <c r="CR34" s="246" t="s">
        <v>166</v>
      </c>
      <c r="CS34" s="247" t="s">
        <v>167</v>
      </c>
      <c r="CT34" s="246" t="s">
        <v>199</v>
      </c>
      <c r="CU34" s="247" t="s">
        <v>200</v>
      </c>
      <c r="CV34" s="3" t="str">
        <f t="shared" si="34"/>
        <v>99485;36523</v>
      </c>
      <c r="CW34" s="3" t="s">
        <v>168</v>
      </c>
      <c r="CX34" s="3" t="str">
        <f t="shared" si="35"/>
        <v>;;BB34:BD34;;CC34</v>
      </c>
      <c r="CY34" s="5" t="str">
        <f t="shared" si="36"/>
        <v>Unlock</v>
      </c>
      <c r="CZ34" s="5" t="str">
        <f t="shared" si="37"/>
        <v>Lock</v>
      </c>
      <c r="DA34" s="5" t="str">
        <f t="shared" si="38"/>
        <v>Lock</v>
      </c>
      <c r="DB34" s="5" t="str">
        <f t="shared" si="39"/>
        <v>Lock</v>
      </c>
      <c r="DC34" s="5" t="str">
        <f t="shared" si="40"/>
        <v>Lock</v>
      </c>
      <c r="DD34" s="78">
        <f t="shared" si="41"/>
        <v>2</v>
      </c>
      <c r="DE34" s="2"/>
      <c r="DF34" s="2"/>
      <c r="DG34" s="2"/>
      <c r="DH34" s="2"/>
      <c r="DI34" s="2"/>
      <c r="DJ34" s="2"/>
      <c r="DK34" s="5"/>
      <c r="DL34" s="2"/>
      <c r="DM34" s="2"/>
      <c r="DN34" s="2"/>
      <c r="DO34" s="2"/>
      <c r="DP34" s="2"/>
      <c r="DQ34" s="2"/>
      <c r="DR34" s="2"/>
      <c r="DS34" s="2"/>
      <c r="DT34" s="2"/>
      <c r="DU34" s="2"/>
      <c r="DV34" s="2"/>
      <c r="DW34" s="2"/>
      <c r="DX34" s="2"/>
      <c r="DY34" s="2"/>
      <c r="DZ34" s="2"/>
      <c r="EA34" s="2"/>
      <c r="EB34" s="2"/>
      <c r="EC34" s="2"/>
      <c r="ED34" s="2"/>
      <c r="EE34" s="2"/>
      <c r="EF34" s="1"/>
      <c r="EG34" s="98"/>
      <c r="EH34" s="98"/>
      <c r="EI34" s="1"/>
      <c r="EJ34" s="1"/>
      <c r="EK34" s="98"/>
      <c r="EL34" s="1"/>
    </row>
    <row r="35" spans="1:142">
      <c r="A35" s="32">
        <f t="shared" si="0"/>
        <v>2315</v>
      </c>
      <c r="B35" s="3" t="str">
        <f t="shared" si="1"/>
        <v>sv_statement//Statement//Export Statement&amp;PDFID=Megan Burnette_2315&amp;SO=Y</v>
      </c>
      <c r="C35" s="5" t="str">
        <f t="shared" si="42"/>
        <v>Statement</v>
      </c>
      <c r="D35" s="5" t="str">
        <f t="shared" si="2"/>
        <v>Megan Burnette_2315</v>
      </c>
      <c r="E35" s="5"/>
      <c r="F35" s="5">
        <v>2315</v>
      </c>
      <c r="G35" s="22" t="s">
        <v>235</v>
      </c>
      <c r="H35" s="5" t="s">
        <v>195</v>
      </c>
      <c r="I35" s="5" t="s">
        <v>236</v>
      </c>
      <c r="J35" s="5" t="s">
        <v>208</v>
      </c>
      <c r="K35" s="5" t="s">
        <v>211</v>
      </c>
      <c r="L35" s="31">
        <f t="shared" si="3"/>
        <v>11498</v>
      </c>
      <c r="M35" s="5" t="s">
        <v>197</v>
      </c>
      <c r="N35" s="22" t="s">
        <v>155</v>
      </c>
      <c r="O35" s="100">
        <v>36342</v>
      </c>
      <c r="P35" s="146">
        <f>VLOOKUP(I35,'Job Codes'!$B$2:$I$120,4,FALSE)</f>
        <v>27000</v>
      </c>
      <c r="Q35" s="146">
        <f>VLOOKUP(I35,'Job Codes'!$B$2:$I$120,5,FALSE)</f>
        <v>35100</v>
      </c>
      <c r="R35" s="146">
        <f>VLOOKUP(I35,'Job Codes'!$B$2:$I$120,6,FALSE)</f>
        <v>42120</v>
      </c>
      <c r="S35" s="22" t="s">
        <v>171</v>
      </c>
      <c r="T35" s="146">
        <v>35000</v>
      </c>
      <c r="U35" s="8">
        <f>VLOOKUP(S35,Data!$H$22:$I$25,2,FALSE)*T35</f>
        <v>35000</v>
      </c>
      <c r="V35" s="180">
        <f t="shared" si="4"/>
        <v>0.9971509971509972</v>
      </c>
      <c r="W35" s="180">
        <f t="shared" si="5"/>
        <v>2.8571428571428571E-3</v>
      </c>
      <c r="X35" s="22" t="str">
        <f t="shared" si="6"/>
        <v>No</v>
      </c>
      <c r="Y35" s="180">
        <f t="shared" si="7"/>
        <v>0</v>
      </c>
      <c r="Z35" s="146">
        <f t="shared" si="8"/>
        <v>0</v>
      </c>
      <c r="AA35" s="146">
        <f t="shared" si="9"/>
        <v>0</v>
      </c>
      <c r="AB35" s="72"/>
      <c r="AC35" s="146">
        <f>AB35/VLOOKUP(S35,Data!$H$22:$I$25,2,FALSE)</f>
        <v>0</v>
      </c>
      <c r="AD35" s="22" t="s">
        <v>157</v>
      </c>
      <c r="AE35" s="146">
        <f>VLOOKUP(S35,Data!$H$22:$J$25,3,FALSE)*T35</f>
        <v>1050</v>
      </c>
      <c r="AF35" s="8">
        <f>VLOOKUP(S35,Data!$H$22:$I$25,2,FALSE)*AE35</f>
        <v>1050</v>
      </c>
      <c r="AG35" s="8" t="s">
        <v>178</v>
      </c>
      <c r="AH35" s="23">
        <v>0.02</v>
      </c>
      <c r="AI35" s="72"/>
      <c r="AJ35" s="159">
        <f t="shared" si="10"/>
        <v>0.02</v>
      </c>
      <c r="AK35" s="168">
        <f t="shared" si="43"/>
        <v>700</v>
      </c>
      <c r="AL35" s="160">
        <f t="shared" si="44"/>
        <v>700</v>
      </c>
      <c r="AM35" s="168">
        <f t="shared" si="11"/>
        <v>35700</v>
      </c>
      <c r="AN35" s="160">
        <f t="shared" si="12"/>
        <v>35700</v>
      </c>
      <c r="AO35" s="160" t="str">
        <f t="shared" si="45"/>
        <v>No</v>
      </c>
      <c r="AP35" s="146">
        <f>IF(AQ35=0,0,AQ35/VLOOKUP(S35,Data!$H$22:$I$25,2,FALSE))</f>
        <v>0</v>
      </c>
      <c r="AQ35" s="183">
        <f t="shared" si="13"/>
        <v>0</v>
      </c>
      <c r="AR35" s="165">
        <f t="shared" si="14"/>
        <v>700</v>
      </c>
      <c r="AS35" s="183">
        <f t="shared" si="15"/>
        <v>700</v>
      </c>
      <c r="AT35" s="250">
        <f t="shared" si="16"/>
        <v>0.02</v>
      </c>
      <c r="AU35" s="146">
        <f t="shared" si="17"/>
        <v>35700</v>
      </c>
      <c r="AV35" s="8">
        <f t="shared" si="18"/>
        <v>35700</v>
      </c>
      <c r="AW35" s="8" t="str">
        <f t="shared" si="19"/>
        <v/>
      </c>
      <c r="AX35" s="180">
        <f t="shared" si="20"/>
        <v>1.017094017094017</v>
      </c>
      <c r="AY35" s="146">
        <f t="shared" si="21"/>
        <v>0</v>
      </c>
      <c r="AZ35" s="146">
        <f t="shared" si="22"/>
        <v>0</v>
      </c>
      <c r="BA35" s="22" t="s">
        <v>159</v>
      </c>
      <c r="BB35" s="149"/>
      <c r="BC35" s="149"/>
      <c r="BD35" s="144"/>
      <c r="BE35" s="146" t="str">
        <f t="shared" si="23"/>
        <v/>
      </c>
      <c r="BF35" s="8" t="str">
        <f t="shared" si="24"/>
        <v/>
      </c>
      <c r="BG35" s="8" t="str">
        <f>IF(LEN(BC35)&gt;0,VLOOKUP(BC35,'Job Codes'!B28:I146,7,FALSE),"")</f>
        <v/>
      </c>
      <c r="BH35" s="192" t="str">
        <f>IF(LEN(BC35)&gt;0,VLOOKUP(BC35,'Job Codes'!B28:I146,8,FALSE),"")</f>
        <v/>
      </c>
      <c r="BI35" s="192" t="str">
        <f>IF(LEN(BC35)&gt;0,VLOOKUP(BC35,'Job Codes'!$B$2:$J$120,9,FALSE),"")</f>
        <v/>
      </c>
      <c r="BJ35" s="146" t="str">
        <f>IF(LEN(BC35)&gt;0,VLOOKUP(BC35,'Job Codes'!$B$2:$I$120,4,FALSE),"")</f>
        <v/>
      </c>
      <c r="BK35" s="146" t="str">
        <f>IF(LEN(BC35)&gt;0,VLOOKUP(BC35,'Job Codes'!$B$2:$I$120,5,FALSE),"")</f>
        <v/>
      </c>
      <c r="BL35" s="146" t="str">
        <f>IF(LEN(BC35)&gt;0,VLOOKUP(BC35,'Job Codes'!$B$2:$I$120,6,FALSE),"")</f>
        <v/>
      </c>
      <c r="BM35" s="168">
        <f t="shared" si="25"/>
        <v>35700</v>
      </c>
      <c r="BN35" s="160">
        <f t="shared" si="26"/>
        <v>35700</v>
      </c>
      <c r="BO35" s="22" t="s">
        <v>157</v>
      </c>
      <c r="BP35" s="157">
        <f>VLOOKUP(I35,'Job Codes'!$B$2:$I$120,8,FALSE)</f>
        <v>0.05</v>
      </c>
      <c r="BQ35" s="25" t="str">
        <f>IF(O35&gt;Data!$H$33,"Yes","No")</f>
        <v>No</v>
      </c>
      <c r="BR35" s="191">
        <v>0.05</v>
      </c>
      <c r="BS35" s="150">
        <f t="shared" si="27"/>
        <v>1750</v>
      </c>
      <c r="BT35" s="25">
        <f t="shared" si="28"/>
        <v>1750</v>
      </c>
      <c r="BU35" s="161">
        <v>1</v>
      </c>
      <c r="BV35" s="168">
        <f t="shared" si="29"/>
        <v>1750</v>
      </c>
      <c r="BW35" s="160">
        <f t="shared" si="30"/>
        <v>1750</v>
      </c>
      <c r="BX35" s="149" t="s">
        <v>237</v>
      </c>
      <c r="BY35" s="32">
        <f t="shared" si="31"/>
        <v>0</v>
      </c>
      <c r="BZ35" s="22" t="s">
        <v>159</v>
      </c>
      <c r="CA35" s="231">
        <f>VLOOKUP(I35,'Job Codes'!$B$2:$J$120,9,FALSE)</f>
        <v>0</v>
      </c>
      <c r="CB35" s="253">
        <f t="shared" si="32"/>
        <v>0</v>
      </c>
      <c r="CC35" s="72"/>
      <c r="CD35" s="25" t="str">
        <f t="shared" si="33"/>
        <v>Meets</v>
      </c>
      <c r="CE35" s="27"/>
      <c r="CF35" s="27"/>
      <c r="CG35" s="27"/>
      <c r="CH35" s="27"/>
      <c r="CI35" s="27"/>
      <c r="CJ35" s="3">
        <v>20714</v>
      </c>
      <c r="CK35" s="3" t="s">
        <v>198</v>
      </c>
      <c r="CL35" s="3">
        <v>4569</v>
      </c>
      <c r="CM35" s="3" t="s">
        <v>161</v>
      </c>
      <c r="CN35" s="3">
        <v>4571</v>
      </c>
      <c r="CO35" s="3" t="s">
        <v>162</v>
      </c>
      <c r="CP35" s="3">
        <v>12345</v>
      </c>
      <c r="CQ35" s="3" t="s">
        <v>163</v>
      </c>
      <c r="CR35" s="246" t="s">
        <v>166</v>
      </c>
      <c r="CS35" s="247" t="s">
        <v>167</v>
      </c>
      <c r="CT35" s="246" t="s">
        <v>199</v>
      </c>
      <c r="CU35" s="247" t="s">
        <v>200</v>
      </c>
      <c r="CV35" s="3" t="str">
        <f t="shared" si="34"/>
        <v>99485;36523</v>
      </c>
      <c r="CW35" s="3" t="s">
        <v>168</v>
      </c>
      <c r="CX35" s="3" t="str">
        <f t="shared" si="35"/>
        <v>AB35;;BB35:BD35;;CC35</v>
      </c>
      <c r="CY35" s="5" t="str">
        <f t="shared" si="36"/>
        <v>Unlock</v>
      </c>
      <c r="CZ35" s="5" t="str">
        <f t="shared" si="37"/>
        <v>Lock</v>
      </c>
      <c r="DA35" s="5" t="str">
        <f t="shared" si="38"/>
        <v>Lock</v>
      </c>
      <c r="DB35" s="5" t="str">
        <f t="shared" si="39"/>
        <v>Lock</v>
      </c>
      <c r="DC35" s="5" t="str">
        <f t="shared" si="40"/>
        <v>Lock</v>
      </c>
      <c r="DD35" s="78">
        <f t="shared" si="41"/>
        <v>2</v>
      </c>
      <c r="DE35" s="2"/>
      <c r="DF35" s="2"/>
      <c r="DG35" s="2"/>
      <c r="DH35" s="2"/>
      <c r="DI35" s="2"/>
      <c r="DJ35" s="2"/>
      <c r="DK35" s="5"/>
      <c r="DL35" s="2"/>
      <c r="DM35" s="2"/>
      <c r="DN35" s="2"/>
      <c r="DO35" s="2"/>
      <c r="DP35" s="2"/>
      <c r="DQ35" s="2"/>
      <c r="DR35" s="2"/>
      <c r="DS35" s="2"/>
      <c r="DT35" s="2"/>
      <c r="DU35" s="2"/>
      <c r="DV35" s="2"/>
      <c r="DW35" s="2"/>
      <c r="DX35" s="2"/>
      <c r="DY35" s="2"/>
      <c r="DZ35" s="2"/>
      <c r="EA35" s="2"/>
      <c r="EB35" s="2"/>
      <c r="EC35" s="2"/>
      <c r="ED35" s="2"/>
      <c r="EE35" s="2"/>
      <c r="EF35" s="1"/>
      <c r="EG35" s="98"/>
      <c r="EH35" s="98"/>
      <c r="EI35" s="1"/>
      <c r="EJ35" s="1"/>
      <c r="EK35" s="98"/>
      <c r="EL35" s="1"/>
    </row>
    <row r="36" spans="1:142">
      <c r="A36" s="32">
        <f t="shared" si="0"/>
        <v>2330</v>
      </c>
      <c r="B36" s="3" t="str">
        <f t="shared" si="1"/>
        <v>sv_statement//Statement//Export Statement&amp;PDFID=Janet Anthony_2330&amp;SO=Y</v>
      </c>
      <c r="C36" s="5" t="str">
        <f t="shared" si="42"/>
        <v>Statement</v>
      </c>
      <c r="D36" s="5" t="str">
        <f t="shared" si="2"/>
        <v>Janet Anthony_2330</v>
      </c>
      <c r="E36" s="5"/>
      <c r="F36" s="5">
        <v>2330</v>
      </c>
      <c r="G36" s="22" t="s">
        <v>238</v>
      </c>
      <c r="H36" s="5" t="s">
        <v>195</v>
      </c>
      <c r="I36" s="5" t="s">
        <v>239</v>
      </c>
      <c r="J36" s="5" t="s">
        <v>208</v>
      </c>
      <c r="K36" s="5" t="s">
        <v>211</v>
      </c>
      <c r="L36" s="31">
        <f t="shared" si="3"/>
        <v>11498</v>
      </c>
      <c r="M36" s="5" t="s">
        <v>197</v>
      </c>
      <c r="N36" s="22" t="s">
        <v>155</v>
      </c>
      <c r="O36" s="100">
        <v>37144</v>
      </c>
      <c r="P36" s="146">
        <f>VLOOKUP(I36,'Job Codes'!$B$2:$I$120,4,FALSE)</f>
        <v>27000</v>
      </c>
      <c r="Q36" s="146">
        <f>VLOOKUP(I36,'Job Codes'!$B$2:$I$120,5,FALSE)</f>
        <v>35100</v>
      </c>
      <c r="R36" s="146">
        <f>VLOOKUP(I36,'Job Codes'!$B$2:$I$120,6,FALSE)</f>
        <v>42120</v>
      </c>
      <c r="S36" s="22" t="s">
        <v>171</v>
      </c>
      <c r="T36" s="146">
        <v>35859</v>
      </c>
      <c r="U36" s="8">
        <f>VLOOKUP(S36,Data!$H$22:$I$25,2,FALSE)*T36</f>
        <v>35859</v>
      </c>
      <c r="V36" s="180">
        <f t="shared" si="4"/>
        <v>1.0216239316239317</v>
      </c>
      <c r="W36" s="180">
        <f t="shared" si="5"/>
        <v>0</v>
      </c>
      <c r="X36" s="22" t="str">
        <f t="shared" si="6"/>
        <v>No</v>
      </c>
      <c r="Y36" s="180">
        <f t="shared" si="7"/>
        <v>0</v>
      </c>
      <c r="Z36" s="146">
        <f t="shared" si="8"/>
        <v>0</v>
      </c>
      <c r="AA36" s="146">
        <f t="shared" si="9"/>
        <v>0</v>
      </c>
      <c r="AB36" s="72"/>
      <c r="AC36" s="146">
        <f>AB36/VLOOKUP(S36,Data!$H$22:$I$25,2,FALSE)</f>
        <v>0</v>
      </c>
      <c r="AD36" s="22" t="s">
        <v>157</v>
      </c>
      <c r="AE36" s="146">
        <f>VLOOKUP(S36,Data!$H$22:$J$25,3,FALSE)*T36</f>
        <v>1075.77</v>
      </c>
      <c r="AF36" s="8">
        <f>VLOOKUP(S36,Data!$H$22:$I$25,2,FALSE)*AE36</f>
        <v>1075.77</v>
      </c>
      <c r="AG36" s="8" t="s">
        <v>158</v>
      </c>
      <c r="AH36" s="23">
        <v>2.5000000000000001E-2</v>
      </c>
      <c r="AI36" s="72"/>
      <c r="AJ36" s="159">
        <f t="shared" si="10"/>
        <v>2.5000000000000001E-2</v>
      </c>
      <c r="AK36" s="168">
        <f t="shared" si="43"/>
        <v>896.47500000000002</v>
      </c>
      <c r="AL36" s="160">
        <f t="shared" si="44"/>
        <v>896.47500000000002</v>
      </c>
      <c r="AM36" s="168">
        <f t="shared" si="11"/>
        <v>36755.474999999999</v>
      </c>
      <c r="AN36" s="160">
        <f t="shared" si="12"/>
        <v>36755.474999999999</v>
      </c>
      <c r="AO36" s="160" t="str">
        <f t="shared" si="45"/>
        <v>No</v>
      </c>
      <c r="AP36" s="146">
        <f>IF(AQ36=0,0,AQ36/VLOOKUP(S36,Data!$H$22:$I$25,2,FALSE))</f>
        <v>0</v>
      </c>
      <c r="AQ36" s="183">
        <f t="shared" si="13"/>
        <v>0</v>
      </c>
      <c r="AR36" s="165">
        <f t="shared" si="14"/>
        <v>896.47500000000002</v>
      </c>
      <c r="AS36" s="183">
        <f t="shared" si="15"/>
        <v>896.47500000000002</v>
      </c>
      <c r="AT36" s="250">
        <f t="shared" si="16"/>
        <v>2.5000000000000001E-2</v>
      </c>
      <c r="AU36" s="146">
        <f t="shared" si="17"/>
        <v>36755.474999999999</v>
      </c>
      <c r="AV36" s="8">
        <f t="shared" si="18"/>
        <v>36755.474999999999</v>
      </c>
      <c r="AW36" s="8" t="str">
        <f t="shared" si="19"/>
        <v/>
      </c>
      <c r="AX36" s="180">
        <f t="shared" si="20"/>
        <v>1.0471645299145298</v>
      </c>
      <c r="AY36" s="146">
        <f t="shared" si="21"/>
        <v>0</v>
      </c>
      <c r="AZ36" s="146">
        <f t="shared" si="22"/>
        <v>0</v>
      </c>
      <c r="BA36" s="22" t="s">
        <v>159</v>
      </c>
      <c r="BB36" s="149"/>
      <c r="BC36" s="149"/>
      <c r="BD36" s="144"/>
      <c r="BE36" s="146" t="str">
        <f t="shared" si="23"/>
        <v/>
      </c>
      <c r="BF36" s="8" t="str">
        <f t="shared" si="24"/>
        <v/>
      </c>
      <c r="BG36" s="8" t="str">
        <f>IF(LEN(BC36)&gt;0,VLOOKUP(BC36,'Job Codes'!B29:I147,7,FALSE),"")</f>
        <v/>
      </c>
      <c r="BH36" s="192" t="str">
        <f>IF(LEN(BC36)&gt;0,VLOOKUP(BC36,'Job Codes'!B29:I147,8,FALSE),"")</f>
        <v/>
      </c>
      <c r="BI36" s="192" t="str">
        <f>IF(LEN(BC36)&gt;0,VLOOKUP(BC36,'Job Codes'!$B$2:$J$120,9,FALSE),"")</f>
        <v/>
      </c>
      <c r="BJ36" s="146" t="str">
        <f>IF(LEN(BC36)&gt;0,VLOOKUP(BC36,'Job Codes'!$B$2:$I$120,4,FALSE),"")</f>
        <v/>
      </c>
      <c r="BK36" s="146" t="str">
        <f>IF(LEN(BC36)&gt;0,VLOOKUP(BC36,'Job Codes'!$B$2:$I$120,5,FALSE),"")</f>
        <v/>
      </c>
      <c r="BL36" s="146" t="str">
        <f>IF(LEN(BC36)&gt;0,VLOOKUP(BC36,'Job Codes'!$B$2:$I$120,6,FALSE),"")</f>
        <v/>
      </c>
      <c r="BM36" s="168">
        <f t="shared" si="25"/>
        <v>36755.474999999999</v>
      </c>
      <c r="BN36" s="160">
        <f t="shared" si="26"/>
        <v>36755.474999999999</v>
      </c>
      <c r="BO36" s="22" t="s">
        <v>157</v>
      </c>
      <c r="BP36" s="157">
        <f>VLOOKUP(I36,'Job Codes'!$B$2:$I$120,8,FALSE)</f>
        <v>0.05</v>
      </c>
      <c r="BQ36" s="25" t="str">
        <f>IF(O36&gt;Data!$H$33,"Yes","No")</f>
        <v>No</v>
      </c>
      <c r="BR36" s="191">
        <v>0.05</v>
      </c>
      <c r="BS36" s="150">
        <f t="shared" si="27"/>
        <v>1792.95</v>
      </c>
      <c r="BT36" s="25">
        <f t="shared" si="28"/>
        <v>1792.95</v>
      </c>
      <c r="BU36" s="161">
        <v>1</v>
      </c>
      <c r="BV36" s="168">
        <f t="shared" si="29"/>
        <v>1792.95</v>
      </c>
      <c r="BW36" s="160">
        <f t="shared" si="30"/>
        <v>1792.95</v>
      </c>
      <c r="BX36" s="149"/>
      <c r="BY36" s="32">
        <f t="shared" si="31"/>
        <v>0</v>
      </c>
      <c r="BZ36" s="22" t="s">
        <v>159</v>
      </c>
      <c r="CA36" s="231">
        <f>VLOOKUP(I36,'Job Codes'!$B$2:$J$120,9,FALSE)</f>
        <v>0</v>
      </c>
      <c r="CB36" s="253">
        <f t="shared" si="32"/>
        <v>0</v>
      </c>
      <c r="CC36" s="72"/>
      <c r="CD36" s="25" t="str">
        <f t="shared" si="33"/>
        <v>Exceeds</v>
      </c>
      <c r="CE36" s="27"/>
      <c r="CF36" s="27"/>
      <c r="CG36" s="27"/>
      <c r="CH36" s="27"/>
      <c r="CI36" s="27"/>
      <c r="CJ36" s="3">
        <v>20714</v>
      </c>
      <c r="CK36" s="3" t="s">
        <v>198</v>
      </c>
      <c r="CL36" s="3">
        <v>4569</v>
      </c>
      <c r="CM36" s="3" t="s">
        <v>161</v>
      </c>
      <c r="CN36" s="3">
        <v>4571</v>
      </c>
      <c r="CO36" s="3" t="s">
        <v>162</v>
      </c>
      <c r="CP36" s="3">
        <v>12345</v>
      </c>
      <c r="CQ36" s="3" t="s">
        <v>163</v>
      </c>
      <c r="CR36" s="246" t="s">
        <v>166</v>
      </c>
      <c r="CS36" s="247" t="s">
        <v>167</v>
      </c>
      <c r="CT36" s="246" t="s">
        <v>199</v>
      </c>
      <c r="CU36" s="247" t="s">
        <v>200</v>
      </c>
      <c r="CV36" s="3" t="str">
        <f t="shared" si="34"/>
        <v>99485;36523</v>
      </c>
      <c r="CW36" s="3" t="s">
        <v>168</v>
      </c>
      <c r="CX36" s="3" t="str">
        <f t="shared" si="35"/>
        <v>AB36;;BB36:BD36;;CC36</v>
      </c>
      <c r="CY36" s="5" t="str">
        <f t="shared" si="36"/>
        <v>Unlock</v>
      </c>
      <c r="CZ36" s="5" t="str">
        <f t="shared" si="37"/>
        <v>Lock</v>
      </c>
      <c r="DA36" s="5" t="str">
        <f t="shared" si="38"/>
        <v>Lock</v>
      </c>
      <c r="DB36" s="5" t="str">
        <f t="shared" si="39"/>
        <v>Lock</v>
      </c>
      <c r="DC36" s="5" t="str">
        <f t="shared" si="40"/>
        <v>Lock</v>
      </c>
      <c r="DD36" s="78">
        <f t="shared" si="41"/>
        <v>2</v>
      </c>
      <c r="DE36" s="2"/>
      <c r="DF36" s="2"/>
      <c r="DG36" s="2"/>
      <c r="DH36" s="2"/>
      <c r="DI36" s="2"/>
      <c r="DJ36" s="2"/>
      <c r="DK36" s="5"/>
      <c r="DL36" s="2"/>
      <c r="DM36" s="2"/>
      <c r="DN36" s="2"/>
      <c r="DO36" s="2"/>
      <c r="DP36" s="2"/>
      <c r="DQ36" s="2"/>
      <c r="DR36" s="2"/>
      <c r="DS36" s="2"/>
      <c r="DT36" s="2"/>
      <c r="DU36" s="2"/>
      <c r="DV36" s="2"/>
      <c r="DW36" s="2"/>
      <c r="DX36" s="2"/>
      <c r="DY36" s="2"/>
      <c r="DZ36" s="2"/>
      <c r="EA36" s="2"/>
      <c r="EB36" s="2"/>
      <c r="EC36" s="2"/>
      <c r="ED36" s="2"/>
      <c r="EE36" s="2"/>
      <c r="EF36" s="1"/>
      <c r="EG36" s="98"/>
      <c r="EH36" s="98"/>
      <c r="EI36" s="1"/>
      <c r="EJ36" s="1"/>
      <c r="EK36" s="98"/>
      <c r="EL36" s="1"/>
    </row>
    <row r="37" spans="1:142">
      <c r="A37" s="32">
        <f t="shared" si="0"/>
        <v>2334</v>
      </c>
      <c r="B37" s="3" t="str">
        <f t="shared" si="1"/>
        <v>sv_statement//Statement//Export Statement&amp;PDFID=Peggy Case_2334&amp;SO=Y</v>
      </c>
      <c r="C37" s="5" t="str">
        <f t="shared" si="42"/>
        <v>Statement</v>
      </c>
      <c r="D37" s="5" t="str">
        <f t="shared" si="2"/>
        <v>Peggy Case_2334</v>
      </c>
      <c r="E37" s="5"/>
      <c r="F37" s="5">
        <v>2334</v>
      </c>
      <c r="G37" s="22" t="s">
        <v>240</v>
      </c>
      <c r="H37" s="5" t="s">
        <v>195</v>
      </c>
      <c r="I37" s="5" t="s">
        <v>239</v>
      </c>
      <c r="J37" s="5" t="s">
        <v>208</v>
      </c>
      <c r="K37" s="5" t="s">
        <v>211</v>
      </c>
      <c r="L37" s="31">
        <f t="shared" si="3"/>
        <v>11498</v>
      </c>
      <c r="M37" s="5" t="s">
        <v>197</v>
      </c>
      <c r="N37" s="22" t="s">
        <v>155</v>
      </c>
      <c r="O37" s="100">
        <v>37151</v>
      </c>
      <c r="P37" s="146">
        <f>VLOOKUP(I37,'Job Codes'!$B$2:$I$120,4,FALSE)</f>
        <v>27000</v>
      </c>
      <c r="Q37" s="146">
        <f>VLOOKUP(I37,'Job Codes'!$B$2:$I$120,5,FALSE)</f>
        <v>35100</v>
      </c>
      <c r="R37" s="146">
        <f>VLOOKUP(I37,'Job Codes'!$B$2:$I$120,6,FALSE)</f>
        <v>42120</v>
      </c>
      <c r="S37" s="22" t="s">
        <v>171</v>
      </c>
      <c r="T37" s="146">
        <v>38106</v>
      </c>
      <c r="U37" s="8">
        <f>VLOOKUP(S37,Data!$H$22:$I$25,2,FALSE)*T37</f>
        <v>38106</v>
      </c>
      <c r="V37" s="180">
        <f t="shared" si="4"/>
        <v>1.0856410256410256</v>
      </c>
      <c r="W37" s="180">
        <f t="shared" si="5"/>
        <v>0</v>
      </c>
      <c r="X37" s="22" t="str">
        <f t="shared" si="6"/>
        <v>No</v>
      </c>
      <c r="Y37" s="180">
        <f t="shared" si="7"/>
        <v>0</v>
      </c>
      <c r="Z37" s="146">
        <f t="shared" si="8"/>
        <v>0</v>
      </c>
      <c r="AA37" s="146">
        <f t="shared" si="9"/>
        <v>0</v>
      </c>
      <c r="AB37" s="72"/>
      <c r="AC37" s="146">
        <f>AB37/VLOOKUP(S37,Data!$H$22:$I$25,2,FALSE)</f>
        <v>0</v>
      </c>
      <c r="AD37" s="22" t="s">
        <v>157</v>
      </c>
      <c r="AE37" s="146">
        <f>VLOOKUP(S37,Data!$H$22:$J$25,3,FALSE)*T37</f>
        <v>1143.18</v>
      </c>
      <c r="AF37" s="8">
        <f>VLOOKUP(S37,Data!$H$22:$I$25,2,FALSE)*AE37</f>
        <v>1143.18</v>
      </c>
      <c r="AG37" s="8" t="s">
        <v>178</v>
      </c>
      <c r="AH37" s="23">
        <v>2.5000000000000001E-2</v>
      </c>
      <c r="AI37" s="72"/>
      <c r="AJ37" s="159">
        <f t="shared" si="10"/>
        <v>2.5000000000000001E-2</v>
      </c>
      <c r="AK37" s="168">
        <f t="shared" si="43"/>
        <v>952.65000000000009</v>
      </c>
      <c r="AL37" s="160">
        <f t="shared" si="44"/>
        <v>952.65000000000009</v>
      </c>
      <c r="AM37" s="168">
        <f t="shared" si="11"/>
        <v>39058.65</v>
      </c>
      <c r="AN37" s="160">
        <f t="shared" si="12"/>
        <v>39058.65</v>
      </c>
      <c r="AO37" s="160" t="str">
        <f t="shared" si="45"/>
        <v>No</v>
      </c>
      <c r="AP37" s="146">
        <f>IF(AQ37=0,0,AQ37/VLOOKUP(S37,Data!$H$22:$I$25,2,FALSE))</f>
        <v>0</v>
      </c>
      <c r="AQ37" s="183">
        <f t="shared" si="13"/>
        <v>0</v>
      </c>
      <c r="AR37" s="165">
        <f t="shared" si="14"/>
        <v>952.65000000000009</v>
      </c>
      <c r="AS37" s="183">
        <f t="shared" si="15"/>
        <v>952.65000000000009</v>
      </c>
      <c r="AT37" s="250">
        <f t="shared" si="16"/>
        <v>2.5000000000000001E-2</v>
      </c>
      <c r="AU37" s="146">
        <f t="shared" si="17"/>
        <v>39058.65</v>
      </c>
      <c r="AV37" s="8">
        <f t="shared" si="18"/>
        <v>39058.65</v>
      </c>
      <c r="AW37" s="8" t="str">
        <f t="shared" si="19"/>
        <v/>
      </c>
      <c r="AX37" s="180">
        <f t="shared" si="20"/>
        <v>1.1127820512820514</v>
      </c>
      <c r="AY37" s="146">
        <f t="shared" si="21"/>
        <v>0</v>
      </c>
      <c r="AZ37" s="146">
        <f t="shared" si="22"/>
        <v>0</v>
      </c>
      <c r="BA37" s="22" t="s">
        <v>159</v>
      </c>
      <c r="BB37" s="149"/>
      <c r="BC37" s="149"/>
      <c r="BD37" s="144"/>
      <c r="BE37" s="146" t="str">
        <f t="shared" si="23"/>
        <v/>
      </c>
      <c r="BF37" s="8" t="str">
        <f t="shared" si="24"/>
        <v/>
      </c>
      <c r="BG37" s="8" t="str">
        <f>IF(LEN(BC37)&gt;0,VLOOKUP(BC37,'Job Codes'!B30:I148,7,FALSE),"")</f>
        <v/>
      </c>
      <c r="BH37" s="192" t="str">
        <f>IF(LEN(BC37)&gt;0,VLOOKUP(BC37,'Job Codes'!B30:I148,8,FALSE),"")</f>
        <v/>
      </c>
      <c r="BI37" s="192" t="str">
        <f>IF(LEN(BC37)&gt;0,VLOOKUP(BC37,'Job Codes'!$B$2:$J$120,9,FALSE),"")</f>
        <v/>
      </c>
      <c r="BJ37" s="146" t="str">
        <f>IF(LEN(BC37)&gt;0,VLOOKUP(BC37,'Job Codes'!$B$2:$I$120,4,FALSE),"")</f>
        <v/>
      </c>
      <c r="BK37" s="146" t="str">
        <f>IF(LEN(BC37)&gt;0,VLOOKUP(BC37,'Job Codes'!$B$2:$I$120,5,FALSE),"")</f>
        <v/>
      </c>
      <c r="BL37" s="146" t="str">
        <f>IF(LEN(BC37)&gt;0,VLOOKUP(BC37,'Job Codes'!$B$2:$I$120,6,FALSE),"")</f>
        <v/>
      </c>
      <c r="BM37" s="168">
        <f t="shared" si="25"/>
        <v>39058.65</v>
      </c>
      <c r="BN37" s="160">
        <f t="shared" si="26"/>
        <v>39058.65</v>
      </c>
      <c r="BO37" s="22" t="s">
        <v>157</v>
      </c>
      <c r="BP37" s="157">
        <f>VLOOKUP(I37,'Job Codes'!$B$2:$I$120,8,FALSE)</f>
        <v>0.05</v>
      </c>
      <c r="BQ37" s="25" t="str">
        <f>IF(O37&gt;Data!$H$33,"Yes","No")</f>
        <v>No</v>
      </c>
      <c r="BR37" s="191">
        <v>0.05</v>
      </c>
      <c r="BS37" s="150">
        <f t="shared" si="27"/>
        <v>1905.3000000000002</v>
      </c>
      <c r="BT37" s="25">
        <f t="shared" si="28"/>
        <v>1905.3000000000002</v>
      </c>
      <c r="BU37" s="161">
        <v>1</v>
      </c>
      <c r="BV37" s="168">
        <f t="shared" si="29"/>
        <v>1905.3000000000002</v>
      </c>
      <c r="BW37" s="160">
        <f t="shared" si="30"/>
        <v>1905.3000000000002</v>
      </c>
      <c r="BX37" s="149"/>
      <c r="BY37" s="32">
        <f t="shared" si="31"/>
        <v>0</v>
      </c>
      <c r="BZ37" s="22" t="s">
        <v>159</v>
      </c>
      <c r="CA37" s="231">
        <f>VLOOKUP(I37,'Job Codes'!$B$2:$J$120,9,FALSE)</f>
        <v>0</v>
      </c>
      <c r="CB37" s="253">
        <f t="shared" si="32"/>
        <v>0</v>
      </c>
      <c r="CC37" s="72"/>
      <c r="CD37" s="25" t="str">
        <f t="shared" si="33"/>
        <v>Meets</v>
      </c>
      <c r="CE37" s="27"/>
      <c r="CF37" s="27"/>
      <c r="CG37" s="27"/>
      <c r="CH37" s="27"/>
      <c r="CI37" s="27"/>
      <c r="CJ37" s="3">
        <v>20714</v>
      </c>
      <c r="CK37" s="3" t="s">
        <v>198</v>
      </c>
      <c r="CL37" s="3">
        <v>4569</v>
      </c>
      <c r="CM37" s="3" t="s">
        <v>161</v>
      </c>
      <c r="CN37" s="3">
        <v>4571</v>
      </c>
      <c r="CO37" s="3" t="s">
        <v>162</v>
      </c>
      <c r="CP37" s="3">
        <v>12345</v>
      </c>
      <c r="CQ37" s="3" t="s">
        <v>163</v>
      </c>
      <c r="CR37" s="246" t="s">
        <v>166</v>
      </c>
      <c r="CS37" s="247" t="s">
        <v>167</v>
      </c>
      <c r="CT37" s="246" t="s">
        <v>199</v>
      </c>
      <c r="CU37" s="247" t="s">
        <v>200</v>
      </c>
      <c r="CV37" s="3" t="str">
        <f t="shared" si="34"/>
        <v>99485;36523</v>
      </c>
      <c r="CW37" s="3" t="s">
        <v>168</v>
      </c>
      <c r="CX37" s="3" t="str">
        <f t="shared" si="35"/>
        <v>AB37;;BB37:BD37;;CC37</v>
      </c>
      <c r="CY37" s="5" t="str">
        <f t="shared" si="36"/>
        <v>Unlock</v>
      </c>
      <c r="CZ37" s="5" t="str">
        <f t="shared" si="37"/>
        <v>Lock</v>
      </c>
      <c r="DA37" s="5" t="str">
        <f t="shared" si="38"/>
        <v>Lock</v>
      </c>
      <c r="DB37" s="5" t="str">
        <f t="shared" si="39"/>
        <v>Lock</v>
      </c>
      <c r="DC37" s="5" t="str">
        <f t="shared" si="40"/>
        <v>Lock</v>
      </c>
      <c r="DD37" s="78">
        <f t="shared" si="41"/>
        <v>2</v>
      </c>
      <c r="DE37" s="2"/>
      <c r="DF37" s="2"/>
      <c r="DG37" s="2"/>
      <c r="DH37" s="2"/>
      <c r="DI37" s="2"/>
      <c r="DJ37" s="2"/>
      <c r="DK37" s="5"/>
      <c r="DL37" s="2"/>
      <c r="DM37" s="2"/>
      <c r="DN37" s="2"/>
      <c r="DO37" s="2"/>
      <c r="DP37" s="2"/>
      <c r="DQ37" s="2"/>
      <c r="DR37" s="2"/>
      <c r="DS37" s="2"/>
      <c r="DT37" s="2"/>
      <c r="DU37" s="2"/>
      <c r="DV37" s="2"/>
      <c r="DW37" s="2"/>
      <c r="DX37" s="2"/>
      <c r="DY37" s="2"/>
      <c r="DZ37" s="2"/>
      <c r="EA37" s="2"/>
      <c r="EB37" s="2"/>
      <c r="EC37" s="2"/>
      <c r="ED37" s="2"/>
      <c r="EE37" s="2"/>
      <c r="EF37" s="1"/>
      <c r="EG37" s="98"/>
      <c r="EH37" s="98"/>
      <c r="EI37" s="1"/>
      <c r="EJ37" s="1"/>
      <c r="EK37" s="98"/>
      <c r="EL37" s="1"/>
    </row>
    <row r="38" spans="1:142">
      <c r="A38" s="32">
        <f t="shared" si="0"/>
        <v>2351</v>
      </c>
      <c r="B38" s="3" t="str">
        <f t="shared" si="1"/>
        <v>sv_statement//Statement//Export Statement&amp;PDFID=Thomas Fuhrman_2351&amp;SO=Y</v>
      </c>
      <c r="C38" s="5" t="str">
        <f t="shared" si="42"/>
        <v>Statement</v>
      </c>
      <c r="D38" s="5" t="str">
        <f t="shared" si="2"/>
        <v>Thomas Fuhrman_2351</v>
      </c>
      <c r="E38" s="5"/>
      <c r="F38" s="5">
        <v>2351</v>
      </c>
      <c r="G38" s="22" t="s">
        <v>241</v>
      </c>
      <c r="H38" s="5" t="s">
        <v>195</v>
      </c>
      <c r="I38" s="5" t="s">
        <v>242</v>
      </c>
      <c r="J38" s="5" t="s">
        <v>208</v>
      </c>
      <c r="K38" s="5" t="s">
        <v>211</v>
      </c>
      <c r="L38" s="31">
        <f t="shared" si="3"/>
        <v>11498</v>
      </c>
      <c r="M38" s="5" t="s">
        <v>197</v>
      </c>
      <c r="N38" s="22" t="s">
        <v>155</v>
      </c>
      <c r="O38" s="100">
        <v>37165</v>
      </c>
      <c r="P38" s="146">
        <f>VLOOKUP(I38,'Job Codes'!$B$2:$I$120,4,FALSE)</f>
        <v>33000</v>
      </c>
      <c r="Q38" s="146">
        <f>VLOOKUP(I38,'Job Codes'!$B$2:$I$120,5,FALSE)</f>
        <v>42900</v>
      </c>
      <c r="R38" s="146">
        <f>VLOOKUP(I38,'Job Codes'!$B$2:$I$120,6,FALSE)</f>
        <v>51480</v>
      </c>
      <c r="S38" s="22" t="s">
        <v>171</v>
      </c>
      <c r="T38" s="146">
        <v>33862</v>
      </c>
      <c r="U38" s="8">
        <f>VLOOKUP(S38,Data!$H$22:$I$25,2,FALSE)*T38</f>
        <v>33862</v>
      </c>
      <c r="V38" s="180">
        <f t="shared" si="4"/>
        <v>0.78932400932400937</v>
      </c>
      <c r="W38" s="180">
        <f t="shared" si="5"/>
        <v>0.26690685724410845</v>
      </c>
      <c r="X38" s="22" t="str">
        <f t="shared" si="6"/>
        <v>Yes</v>
      </c>
      <c r="Y38" s="180">
        <f t="shared" si="7"/>
        <v>0.02</v>
      </c>
      <c r="Z38" s="146">
        <f t="shared" si="8"/>
        <v>677.24</v>
      </c>
      <c r="AA38" s="146">
        <f t="shared" si="9"/>
        <v>677.24</v>
      </c>
      <c r="AB38" s="72"/>
      <c r="AC38" s="146">
        <f>AB38/VLOOKUP(S38,Data!$H$22:$I$25,2,FALSE)</f>
        <v>0</v>
      </c>
      <c r="AD38" s="22" t="s">
        <v>157</v>
      </c>
      <c r="AE38" s="146">
        <f>VLOOKUP(S38,Data!$H$22:$J$25,3,FALSE)*T38</f>
        <v>1015.86</v>
      </c>
      <c r="AF38" s="8">
        <f>VLOOKUP(S38,Data!$H$22:$I$25,2,FALSE)*AE38</f>
        <v>1015.86</v>
      </c>
      <c r="AG38" s="8" t="s">
        <v>178</v>
      </c>
      <c r="AH38" s="23">
        <v>2.4500000000000001E-2</v>
      </c>
      <c r="AI38" s="72"/>
      <c r="AJ38" s="159">
        <f t="shared" si="10"/>
        <v>2.4500000000000001E-2</v>
      </c>
      <c r="AK38" s="168">
        <f t="shared" si="43"/>
        <v>829.61900000000003</v>
      </c>
      <c r="AL38" s="160">
        <f t="shared" si="44"/>
        <v>829.61900000000003</v>
      </c>
      <c r="AM38" s="168">
        <f t="shared" si="11"/>
        <v>34691.618999999999</v>
      </c>
      <c r="AN38" s="160">
        <f t="shared" si="12"/>
        <v>34691.618999999999</v>
      </c>
      <c r="AO38" s="160" t="str">
        <f t="shared" si="45"/>
        <v>No</v>
      </c>
      <c r="AP38" s="146">
        <f>IF(AQ38=0,0,AQ38/VLOOKUP(S38,Data!$H$22:$I$25,2,FALSE))</f>
        <v>0</v>
      </c>
      <c r="AQ38" s="183">
        <f t="shared" si="13"/>
        <v>0</v>
      </c>
      <c r="AR38" s="165">
        <f t="shared" si="14"/>
        <v>829.61900000000003</v>
      </c>
      <c r="AS38" s="183">
        <f t="shared" si="15"/>
        <v>829.61900000000003</v>
      </c>
      <c r="AT38" s="250">
        <f t="shared" si="16"/>
        <v>2.4500000000000001E-2</v>
      </c>
      <c r="AU38" s="146">
        <f t="shared" si="17"/>
        <v>34691.618999999999</v>
      </c>
      <c r="AV38" s="8">
        <f t="shared" si="18"/>
        <v>34691.618999999999</v>
      </c>
      <c r="AW38" s="8" t="str">
        <f t="shared" si="19"/>
        <v/>
      </c>
      <c r="AX38" s="180">
        <f t="shared" si="20"/>
        <v>0.80866244755244754</v>
      </c>
      <c r="AY38" s="146">
        <f t="shared" si="21"/>
        <v>0</v>
      </c>
      <c r="AZ38" s="146">
        <f t="shared" si="22"/>
        <v>0</v>
      </c>
      <c r="BA38" s="22" t="s">
        <v>159</v>
      </c>
      <c r="BB38" s="149"/>
      <c r="BC38" s="149"/>
      <c r="BD38" s="144"/>
      <c r="BE38" s="146" t="str">
        <f t="shared" si="23"/>
        <v/>
      </c>
      <c r="BF38" s="8" t="str">
        <f t="shared" si="24"/>
        <v/>
      </c>
      <c r="BG38" s="8" t="str">
        <f>IF(LEN(BC38)&gt;0,VLOOKUP(BC38,'Job Codes'!B31:I149,7,FALSE),"")</f>
        <v/>
      </c>
      <c r="BH38" s="192" t="str">
        <f>IF(LEN(BC38)&gt;0,VLOOKUP(BC38,'Job Codes'!B31:I149,8,FALSE),"")</f>
        <v/>
      </c>
      <c r="BI38" s="192" t="str">
        <f>IF(LEN(BC38)&gt;0,VLOOKUP(BC38,'Job Codes'!$B$2:$J$120,9,FALSE),"")</f>
        <v/>
      </c>
      <c r="BJ38" s="146" t="str">
        <f>IF(LEN(BC38)&gt;0,VLOOKUP(BC38,'Job Codes'!$B$2:$I$120,4,FALSE),"")</f>
        <v/>
      </c>
      <c r="BK38" s="146" t="str">
        <f>IF(LEN(BC38)&gt;0,VLOOKUP(BC38,'Job Codes'!$B$2:$I$120,5,FALSE),"")</f>
        <v/>
      </c>
      <c r="BL38" s="146" t="str">
        <f>IF(LEN(BC38)&gt;0,VLOOKUP(BC38,'Job Codes'!$B$2:$I$120,6,FALSE),"")</f>
        <v/>
      </c>
      <c r="BM38" s="168">
        <f t="shared" si="25"/>
        <v>34691.618999999999</v>
      </c>
      <c r="BN38" s="160">
        <f t="shared" si="26"/>
        <v>34691.618999999999</v>
      </c>
      <c r="BO38" s="22" t="s">
        <v>157</v>
      </c>
      <c r="BP38" s="157">
        <f>VLOOKUP(I38,'Job Codes'!$B$2:$I$120,8,FALSE)</f>
        <v>0.1</v>
      </c>
      <c r="BQ38" s="25" t="str">
        <f>IF(O38&gt;Data!$H$33,"Yes","No")</f>
        <v>No</v>
      </c>
      <c r="BR38" s="191">
        <v>0.1</v>
      </c>
      <c r="BS38" s="150">
        <f t="shared" si="27"/>
        <v>3386.2000000000003</v>
      </c>
      <c r="BT38" s="25">
        <f t="shared" si="28"/>
        <v>3386.2000000000003</v>
      </c>
      <c r="BU38" s="161">
        <v>1</v>
      </c>
      <c r="BV38" s="168">
        <f t="shared" si="29"/>
        <v>3386.2000000000003</v>
      </c>
      <c r="BW38" s="160">
        <f t="shared" si="30"/>
        <v>3386.2000000000003</v>
      </c>
      <c r="BX38" s="149"/>
      <c r="BY38" s="32">
        <f t="shared" si="31"/>
        <v>0</v>
      </c>
      <c r="BZ38" s="22" t="s">
        <v>157</v>
      </c>
      <c r="CA38" s="231">
        <f>VLOOKUP(I38,'Job Codes'!$B$2:$J$120,9,FALSE)</f>
        <v>0.1</v>
      </c>
      <c r="CB38" s="253">
        <f t="shared" si="32"/>
        <v>3386.2000000000003</v>
      </c>
      <c r="CC38" s="72"/>
      <c r="CD38" s="25" t="str">
        <f t="shared" si="33"/>
        <v>Meets</v>
      </c>
      <c r="CE38" s="27"/>
      <c r="CF38" s="27"/>
      <c r="CG38" s="27"/>
      <c r="CH38" s="27"/>
      <c r="CI38" s="27"/>
      <c r="CJ38" s="3">
        <v>20714</v>
      </c>
      <c r="CK38" s="3" t="s">
        <v>198</v>
      </c>
      <c r="CL38" s="3">
        <v>4569</v>
      </c>
      <c r="CM38" s="3" t="s">
        <v>161</v>
      </c>
      <c r="CN38" s="3">
        <v>4571</v>
      </c>
      <c r="CO38" s="3" t="s">
        <v>162</v>
      </c>
      <c r="CP38" s="3">
        <v>12345</v>
      </c>
      <c r="CQ38" s="3" t="s">
        <v>163</v>
      </c>
      <c r="CR38" s="246" t="s">
        <v>166</v>
      </c>
      <c r="CS38" s="247" t="s">
        <v>167</v>
      </c>
      <c r="CT38" s="246" t="s">
        <v>199</v>
      </c>
      <c r="CU38" s="247" t="s">
        <v>200</v>
      </c>
      <c r="CV38" s="3" t="str">
        <f t="shared" si="34"/>
        <v>99485;36523</v>
      </c>
      <c r="CW38" s="3" t="s">
        <v>168</v>
      </c>
      <c r="CX38" s="3" t="str">
        <f t="shared" si="35"/>
        <v>;;BB38:BD38;;</v>
      </c>
      <c r="CY38" s="5" t="str">
        <f t="shared" si="36"/>
        <v>Unlock</v>
      </c>
      <c r="CZ38" s="5" t="str">
        <f t="shared" si="37"/>
        <v>Lock</v>
      </c>
      <c r="DA38" s="5" t="str">
        <f t="shared" si="38"/>
        <v>Lock</v>
      </c>
      <c r="DB38" s="5" t="str">
        <f t="shared" si="39"/>
        <v>Lock</v>
      </c>
      <c r="DC38" s="5" t="str">
        <f t="shared" si="40"/>
        <v>Lock</v>
      </c>
      <c r="DD38" s="78">
        <f t="shared" si="41"/>
        <v>2</v>
      </c>
      <c r="DE38" s="2"/>
      <c r="DF38" s="2"/>
      <c r="DG38" s="2"/>
      <c r="DH38" s="2"/>
      <c r="DI38" s="2"/>
      <c r="DJ38" s="2"/>
      <c r="DK38" s="5"/>
      <c r="DL38" s="2"/>
      <c r="DM38" s="2"/>
      <c r="DN38" s="2"/>
      <c r="DO38" s="2"/>
      <c r="DP38" s="2"/>
      <c r="DQ38" s="2"/>
      <c r="DR38" s="2"/>
      <c r="DS38" s="2"/>
      <c r="DT38" s="2"/>
      <c r="DU38" s="2"/>
      <c r="DV38" s="2"/>
      <c r="DW38" s="2"/>
      <c r="DX38" s="2"/>
      <c r="DY38" s="2"/>
      <c r="DZ38" s="2"/>
      <c r="EA38" s="2"/>
      <c r="EB38" s="2"/>
      <c r="EC38" s="2"/>
      <c r="ED38" s="2"/>
      <c r="EE38" s="2"/>
      <c r="EF38" s="1"/>
      <c r="EG38" s="98"/>
      <c r="EH38" s="98"/>
      <c r="EI38" s="1"/>
      <c r="EJ38" s="1"/>
      <c r="EK38" s="98"/>
      <c r="EL38" s="1"/>
    </row>
    <row r="39" spans="1:142">
      <c r="A39" s="32">
        <f t="shared" si="0"/>
        <v>2354</v>
      </c>
      <c r="B39" s="3" t="str">
        <f t="shared" si="1"/>
        <v>sv_statement//Statement//Export Statement&amp;PDFID=Rosemary Rayborn_2354&amp;SO=Y</v>
      </c>
      <c r="C39" s="5" t="str">
        <f t="shared" si="42"/>
        <v>Statement</v>
      </c>
      <c r="D39" s="5" t="str">
        <f t="shared" si="2"/>
        <v>Rosemary Rayborn_2354</v>
      </c>
      <c r="E39" s="5"/>
      <c r="F39" s="5">
        <v>2354</v>
      </c>
      <c r="G39" s="22" t="s">
        <v>243</v>
      </c>
      <c r="H39" s="5" t="s">
        <v>195</v>
      </c>
      <c r="I39" s="5" t="s">
        <v>244</v>
      </c>
      <c r="J39" s="5" t="s">
        <v>208</v>
      </c>
      <c r="K39" s="5" t="s">
        <v>211</v>
      </c>
      <c r="L39" s="31">
        <f t="shared" si="3"/>
        <v>11498</v>
      </c>
      <c r="M39" s="5" t="s">
        <v>197</v>
      </c>
      <c r="N39" s="22" t="s">
        <v>155</v>
      </c>
      <c r="O39" s="100">
        <v>37158</v>
      </c>
      <c r="P39" s="146">
        <f>VLOOKUP(I39,'Job Codes'!$B$2:$I$120,4,FALSE)</f>
        <v>26500</v>
      </c>
      <c r="Q39" s="146">
        <f>VLOOKUP(I39,'Job Codes'!$B$2:$I$120,5,FALSE)</f>
        <v>34450</v>
      </c>
      <c r="R39" s="146">
        <f>VLOOKUP(I39,'Job Codes'!$B$2:$I$120,6,FALSE)</f>
        <v>41340</v>
      </c>
      <c r="S39" s="22" t="s">
        <v>171</v>
      </c>
      <c r="T39" s="146">
        <v>25000</v>
      </c>
      <c r="U39" s="8">
        <f>VLOOKUP(S39,Data!$H$22:$I$25,2,FALSE)*T39</f>
        <v>25000</v>
      </c>
      <c r="V39" s="180">
        <f t="shared" si="4"/>
        <v>0.72568940493468792</v>
      </c>
      <c r="W39" s="180">
        <f t="shared" si="5"/>
        <v>0.378</v>
      </c>
      <c r="X39" s="22" t="str">
        <f t="shared" si="6"/>
        <v>Yes</v>
      </c>
      <c r="Y39" s="180">
        <f t="shared" si="7"/>
        <v>0.02</v>
      </c>
      <c r="Z39" s="146">
        <f t="shared" si="8"/>
        <v>500</v>
      </c>
      <c r="AA39" s="146">
        <f t="shared" si="9"/>
        <v>500</v>
      </c>
      <c r="AB39" s="72"/>
      <c r="AC39" s="146">
        <f>AB39/VLOOKUP(S39,Data!$H$22:$I$25,2,FALSE)</f>
        <v>0</v>
      </c>
      <c r="AD39" s="22" t="s">
        <v>157</v>
      </c>
      <c r="AE39" s="146">
        <f>VLOOKUP(S39,Data!$H$22:$J$25,3,FALSE)*T39</f>
        <v>750</v>
      </c>
      <c r="AF39" s="8">
        <f>VLOOKUP(S39,Data!$H$22:$I$25,2,FALSE)*AE39</f>
        <v>750</v>
      </c>
      <c r="AG39" s="8" t="s">
        <v>178</v>
      </c>
      <c r="AH39" s="23">
        <v>1.4999999999999999E-2</v>
      </c>
      <c r="AI39" s="72"/>
      <c r="AJ39" s="159">
        <f t="shared" si="10"/>
        <v>1.4999999999999999E-2</v>
      </c>
      <c r="AK39" s="168">
        <f t="shared" si="43"/>
        <v>375</v>
      </c>
      <c r="AL39" s="160">
        <f t="shared" si="44"/>
        <v>375</v>
      </c>
      <c r="AM39" s="168">
        <f t="shared" si="11"/>
        <v>25375</v>
      </c>
      <c r="AN39" s="160">
        <f t="shared" si="12"/>
        <v>25375</v>
      </c>
      <c r="AO39" s="160" t="str">
        <f t="shared" si="45"/>
        <v>No</v>
      </c>
      <c r="AP39" s="146">
        <f>IF(AQ39=0,0,AQ39/VLOOKUP(S39,Data!$H$22:$I$25,2,FALSE))</f>
        <v>0</v>
      </c>
      <c r="AQ39" s="183">
        <f t="shared" si="13"/>
        <v>0</v>
      </c>
      <c r="AR39" s="165">
        <f t="shared" si="14"/>
        <v>375</v>
      </c>
      <c r="AS39" s="183">
        <f t="shared" si="15"/>
        <v>375</v>
      </c>
      <c r="AT39" s="250">
        <f t="shared" si="16"/>
        <v>1.4999999999999999E-2</v>
      </c>
      <c r="AU39" s="146">
        <f t="shared" si="17"/>
        <v>25375</v>
      </c>
      <c r="AV39" s="8">
        <f t="shared" si="18"/>
        <v>25375</v>
      </c>
      <c r="AW39" s="8" t="str">
        <f t="shared" si="19"/>
        <v/>
      </c>
      <c r="AX39" s="180">
        <f t="shared" si="20"/>
        <v>0.73657474600870831</v>
      </c>
      <c r="AY39" s="146">
        <f t="shared" si="21"/>
        <v>0</v>
      </c>
      <c r="AZ39" s="146">
        <f t="shared" si="22"/>
        <v>0</v>
      </c>
      <c r="BA39" s="22" t="s">
        <v>159</v>
      </c>
      <c r="BB39" s="149"/>
      <c r="BC39" s="149"/>
      <c r="BD39" s="144"/>
      <c r="BE39" s="146" t="str">
        <f t="shared" si="23"/>
        <v/>
      </c>
      <c r="BF39" s="8" t="str">
        <f t="shared" si="24"/>
        <v/>
      </c>
      <c r="BG39" s="8" t="str">
        <f>IF(LEN(BC39)&gt;0,VLOOKUP(BC39,'Job Codes'!B32:I150,7,FALSE),"")</f>
        <v/>
      </c>
      <c r="BH39" s="192" t="str">
        <f>IF(LEN(BC39)&gt;0,VLOOKUP(BC39,'Job Codes'!B32:I150,8,FALSE),"")</f>
        <v/>
      </c>
      <c r="BI39" s="192" t="str">
        <f>IF(LEN(BC39)&gt;0,VLOOKUP(BC39,'Job Codes'!$B$2:$J$120,9,FALSE),"")</f>
        <v/>
      </c>
      <c r="BJ39" s="146" t="str">
        <f>IF(LEN(BC39)&gt;0,VLOOKUP(BC39,'Job Codes'!$B$2:$I$120,4,FALSE),"")</f>
        <v/>
      </c>
      <c r="BK39" s="146" t="str">
        <f>IF(LEN(BC39)&gt;0,VLOOKUP(BC39,'Job Codes'!$B$2:$I$120,5,FALSE),"")</f>
        <v/>
      </c>
      <c r="BL39" s="146" t="str">
        <f>IF(LEN(BC39)&gt;0,VLOOKUP(BC39,'Job Codes'!$B$2:$I$120,6,FALSE),"")</f>
        <v/>
      </c>
      <c r="BM39" s="168">
        <f t="shared" si="25"/>
        <v>25375</v>
      </c>
      <c r="BN39" s="160">
        <f t="shared" si="26"/>
        <v>25375</v>
      </c>
      <c r="BO39" s="22" t="s">
        <v>157</v>
      </c>
      <c r="BP39" s="157">
        <f>VLOOKUP(I39,'Job Codes'!$B$2:$I$120,8,FALSE)</f>
        <v>0.05</v>
      </c>
      <c r="BQ39" s="25" t="str">
        <f>IF(O39&gt;Data!$H$33,"Yes","No")</f>
        <v>No</v>
      </c>
      <c r="BR39" s="191">
        <v>0.05</v>
      </c>
      <c r="BS39" s="150">
        <f t="shared" si="27"/>
        <v>1250</v>
      </c>
      <c r="BT39" s="25">
        <f t="shared" si="28"/>
        <v>1250</v>
      </c>
      <c r="BU39" s="161">
        <v>1</v>
      </c>
      <c r="BV39" s="168">
        <f t="shared" si="29"/>
        <v>1250</v>
      </c>
      <c r="BW39" s="160">
        <f t="shared" si="30"/>
        <v>1250</v>
      </c>
      <c r="BX39" s="149"/>
      <c r="BY39" s="32">
        <f t="shared" si="31"/>
        <v>0</v>
      </c>
      <c r="BZ39" s="22" t="s">
        <v>159</v>
      </c>
      <c r="CA39" s="231">
        <f>VLOOKUP(I39,'Job Codes'!$B$2:$J$120,9,FALSE)</f>
        <v>0</v>
      </c>
      <c r="CB39" s="253">
        <f t="shared" si="32"/>
        <v>0</v>
      </c>
      <c r="CC39" s="72"/>
      <c r="CD39" s="25" t="str">
        <f t="shared" si="33"/>
        <v>Meets</v>
      </c>
      <c r="CE39" s="27"/>
      <c r="CF39" s="27"/>
      <c r="CG39" s="27"/>
      <c r="CH39" s="27"/>
      <c r="CI39" s="27"/>
      <c r="CJ39" s="3">
        <v>20714</v>
      </c>
      <c r="CK39" s="3" t="s">
        <v>198</v>
      </c>
      <c r="CL39" s="3">
        <v>4569</v>
      </c>
      <c r="CM39" s="3" t="s">
        <v>161</v>
      </c>
      <c r="CN39" s="3">
        <v>4571</v>
      </c>
      <c r="CO39" s="3" t="s">
        <v>162</v>
      </c>
      <c r="CP39" s="3">
        <v>12345</v>
      </c>
      <c r="CQ39" s="3" t="s">
        <v>163</v>
      </c>
      <c r="CR39" s="246" t="s">
        <v>166</v>
      </c>
      <c r="CS39" s="247" t="s">
        <v>167</v>
      </c>
      <c r="CT39" s="246" t="s">
        <v>199</v>
      </c>
      <c r="CU39" s="247" t="s">
        <v>200</v>
      </c>
      <c r="CV39" s="3" t="str">
        <f t="shared" si="34"/>
        <v>99485;36523</v>
      </c>
      <c r="CW39" s="3" t="s">
        <v>168</v>
      </c>
      <c r="CX39" s="3" t="str">
        <f t="shared" si="35"/>
        <v>;;BB39:BD39;;CC39</v>
      </c>
      <c r="CY39" s="5" t="str">
        <f t="shared" si="36"/>
        <v>Unlock</v>
      </c>
      <c r="CZ39" s="5" t="str">
        <f t="shared" si="37"/>
        <v>Lock</v>
      </c>
      <c r="DA39" s="5" t="str">
        <f t="shared" si="38"/>
        <v>Lock</v>
      </c>
      <c r="DB39" s="5" t="str">
        <f t="shared" si="39"/>
        <v>Lock</v>
      </c>
      <c r="DC39" s="5" t="str">
        <f t="shared" si="40"/>
        <v>Lock</v>
      </c>
      <c r="DD39" s="78">
        <f t="shared" si="41"/>
        <v>2</v>
      </c>
      <c r="DE39" s="2"/>
      <c r="DF39" s="2"/>
      <c r="DG39" s="2"/>
      <c r="DH39" s="2"/>
      <c r="DI39" s="2"/>
      <c r="DJ39" s="2"/>
      <c r="DK39" s="5"/>
      <c r="DL39" s="2"/>
      <c r="DM39" s="2"/>
      <c r="DN39" s="2"/>
      <c r="DO39" s="2"/>
      <c r="DP39" s="2"/>
      <c r="DQ39" s="2"/>
      <c r="DR39" s="2"/>
      <c r="DS39" s="2"/>
      <c r="DT39" s="2"/>
      <c r="DU39" s="2"/>
      <c r="DV39" s="2"/>
      <c r="DW39" s="2"/>
      <c r="DX39" s="2"/>
      <c r="DY39" s="2"/>
      <c r="DZ39" s="2"/>
      <c r="EA39" s="2"/>
      <c r="EB39" s="2"/>
      <c r="EC39" s="2"/>
      <c r="ED39" s="2"/>
      <c r="EE39" s="2"/>
      <c r="EF39" s="1"/>
      <c r="EG39" s="98"/>
      <c r="EH39" s="98"/>
      <c r="EI39" s="1"/>
      <c r="EJ39" s="1"/>
      <c r="EK39" s="98"/>
      <c r="EL39" s="1"/>
    </row>
    <row r="40" spans="1:142">
      <c r="A40" s="32">
        <f t="shared" si="0"/>
        <v>2355</v>
      </c>
      <c r="B40" s="3" t="str">
        <f t="shared" si="1"/>
        <v>sv_statement//Statement//Export Statement&amp;PDFID=Monica Nieves_2355&amp;SO=Y</v>
      </c>
      <c r="C40" s="5" t="str">
        <f t="shared" si="42"/>
        <v>Statement</v>
      </c>
      <c r="D40" s="5" t="str">
        <f t="shared" si="2"/>
        <v>Monica Nieves_2355</v>
      </c>
      <c r="E40" s="5"/>
      <c r="F40" s="5">
        <v>2355</v>
      </c>
      <c r="G40" s="22" t="s">
        <v>245</v>
      </c>
      <c r="H40" s="5" t="s">
        <v>195</v>
      </c>
      <c r="I40" s="5" t="s">
        <v>246</v>
      </c>
      <c r="J40" s="5" t="s">
        <v>208</v>
      </c>
      <c r="K40" s="5" t="s">
        <v>211</v>
      </c>
      <c r="L40" s="31">
        <f t="shared" si="3"/>
        <v>11498</v>
      </c>
      <c r="M40" s="5" t="s">
        <v>197</v>
      </c>
      <c r="N40" s="22" t="s">
        <v>155</v>
      </c>
      <c r="O40" s="100">
        <v>37158</v>
      </c>
      <c r="P40" s="146">
        <f>VLOOKUP(I40,'Job Codes'!$B$2:$I$120,4,FALSE)</f>
        <v>33000</v>
      </c>
      <c r="Q40" s="146">
        <f>VLOOKUP(I40,'Job Codes'!$B$2:$I$120,5,FALSE)</f>
        <v>42900</v>
      </c>
      <c r="R40" s="146">
        <f>VLOOKUP(I40,'Job Codes'!$B$2:$I$120,6,FALSE)</f>
        <v>51480</v>
      </c>
      <c r="S40" s="22" t="s">
        <v>171</v>
      </c>
      <c r="T40" s="146">
        <v>29266</v>
      </c>
      <c r="U40" s="8">
        <f>VLOOKUP(S40,Data!$H$22:$I$25,2,FALSE)*T40</f>
        <v>29266</v>
      </c>
      <c r="V40" s="180">
        <f t="shared" si="4"/>
        <v>0.68219114219114219</v>
      </c>
      <c r="W40" s="180">
        <f t="shared" si="5"/>
        <v>0.4658648260780428</v>
      </c>
      <c r="X40" s="22" t="str">
        <f t="shared" si="6"/>
        <v>Yes</v>
      </c>
      <c r="Y40" s="180">
        <f t="shared" si="7"/>
        <v>0.02</v>
      </c>
      <c r="Z40" s="146">
        <f t="shared" si="8"/>
        <v>585.32000000000005</v>
      </c>
      <c r="AA40" s="146">
        <f t="shared" si="9"/>
        <v>585.32000000000005</v>
      </c>
      <c r="AB40" s="72"/>
      <c r="AC40" s="146">
        <f>AB40/VLOOKUP(S40,Data!$H$22:$I$25,2,FALSE)</f>
        <v>0</v>
      </c>
      <c r="AD40" s="22" t="s">
        <v>157</v>
      </c>
      <c r="AE40" s="146">
        <f>VLOOKUP(S40,Data!$H$22:$J$25,3,FALSE)*T40</f>
        <v>877.98</v>
      </c>
      <c r="AF40" s="8">
        <f>VLOOKUP(S40,Data!$H$22:$I$25,2,FALSE)*AE40</f>
        <v>877.98</v>
      </c>
      <c r="AG40" s="8" t="s">
        <v>158</v>
      </c>
      <c r="AH40" s="23">
        <v>0.04</v>
      </c>
      <c r="AI40" s="72"/>
      <c r="AJ40" s="159">
        <f t="shared" si="10"/>
        <v>0.04</v>
      </c>
      <c r="AK40" s="168">
        <f t="shared" si="43"/>
        <v>1170.6400000000001</v>
      </c>
      <c r="AL40" s="160">
        <f t="shared" si="44"/>
        <v>1170.6400000000001</v>
      </c>
      <c r="AM40" s="168">
        <f t="shared" si="11"/>
        <v>30436.639999999999</v>
      </c>
      <c r="AN40" s="160">
        <f t="shared" si="12"/>
        <v>30436.639999999999</v>
      </c>
      <c r="AO40" s="160" t="str">
        <f t="shared" si="45"/>
        <v>No</v>
      </c>
      <c r="AP40" s="146">
        <f>IF(AQ40=0,0,AQ40/VLOOKUP(S40,Data!$H$22:$I$25,2,FALSE))</f>
        <v>0</v>
      </c>
      <c r="AQ40" s="183">
        <f t="shared" si="13"/>
        <v>0</v>
      </c>
      <c r="AR40" s="165">
        <f t="shared" si="14"/>
        <v>1170.6400000000001</v>
      </c>
      <c r="AS40" s="183">
        <f t="shared" si="15"/>
        <v>1170.6400000000001</v>
      </c>
      <c r="AT40" s="250">
        <f t="shared" si="16"/>
        <v>0.04</v>
      </c>
      <c r="AU40" s="146">
        <f t="shared" si="17"/>
        <v>30436.639999999999</v>
      </c>
      <c r="AV40" s="8">
        <f t="shared" si="18"/>
        <v>30436.639999999999</v>
      </c>
      <c r="AW40" s="8" t="str">
        <f t="shared" si="19"/>
        <v/>
      </c>
      <c r="AX40" s="180">
        <f t="shared" si="20"/>
        <v>0.70947878787878782</v>
      </c>
      <c r="AY40" s="146">
        <f t="shared" si="21"/>
        <v>0</v>
      </c>
      <c r="AZ40" s="146">
        <f t="shared" si="22"/>
        <v>0</v>
      </c>
      <c r="BA40" s="22" t="s">
        <v>159</v>
      </c>
      <c r="BB40" s="149"/>
      <c r="BC40" s="149"/>
      <c r="BD40" s="144"/>
      <c r="BE40" s="146" t="str">
        <f t="shared" si="23"/>
        <v/>
      </c>
      <c r="BF40" s="8" t="str">
        <f t="shared" si="24"/>
        <v/>
      </c>
      <c r="BG40" s="8" t="str">
        <f>IF(LEN(BC40)&gt;0,VLOOKUP(BC40,'Job Codes'!B33:I151,7,FALSE),"")</f>
        <v/>
      </c>
      <c r="BH40" s="192" t="str">
        <f>IF(LEN(BC40)&gt;0,VLOOKUP(BC40,'Job Codes'!B33:I151,8,FALSE),"")</f>
        <v/>
      </c>
      <c r="BI40" s="192" t="str">
        <f>IF(LEN(BC40)&gt;0,VLOOKUP(BC40,'Job Codes'!$B$2:$J$120,9,FALSE),"")</f>
        <v/>
      </c>
      <c r="BJ40" s="146" t="str">
        <f>IF(LEN(BC40)&gt;0,VLOOKUP(BC40,'Job Codes'!$B$2:$I$120,4,FALSE),"")</f>
        <v/>
      </c>
      <c r="BK40" s="146" t="str">
        <f>IF(LEN(BC40)&gt;0,VLOOKUP(BC40,'Job Codes'!$B$2:$I$120,5,FALSE),"")</f>
        <v/>
      </c>
      <c r="BL40" s="146" t="str">
        <f>IF(LEN(BC40)&gt;0,VLOOKUP(BC40,'Job Codes'!$B$2:$I$120,6,FALSE),"")</f>
        <v/>
      </c>
      <c r="BM40" s="168">
        <f t="shared" si="25"/>
        <v>30436.639999999999</v>
      </c>
      <c r="BN40" s="160">
        <f t="shared" si="26"/>
        <v>30436.639999999999</v>
      </c>
      <c r="BO40" s="22" t="s">
        <v>157</v>
      </c>
      <c r="BP40" s="157">
        <f>VLOOKUP(I40,'Job Codes'!$B$2:$I$120,8,FALSE)</f>
        <v>0.1</v>
      </c>
      <c r="BQ40" s="25" t="str">
        <f>IF(O40&gt;Data!$H$33,"Yes","No")</f>
        <v>No</v>
      </c>
      <c r="BR40" s="191">
        <v>0.1</v>
      </c>
      <c r="BS40" s="150">
        <f t="shared" si="27"/>
        <v>2926.6000000000004</v>
      </c>
      <c r="BT40" s="25">
        <f t="shared" si="28"/>
        <v>2926.6000000000004</v>
      </c>
      <c r="BU40" s="161">
        <v>1</v>
      </c>
      <c r="BV40" s="168">
        <f t="shared" si="29"/>
        <v>2926.6000000000004</v>
      </c>
      <c r="BW40" s="160">
        <f t="shared" si="30"/>
        <v>2926.6000000000004</v>
      </c>
      <c r="BX40" s="149"/>
      <c r="BY40" s="32">
        <f t="shared" si="31"/>
        <v>0</v>
      </c>
      <c r="BZ40" s="22" t="s">
        <v>157</v>
      </c>
      <c r="CA40" s="231">
        <f>VLOOKUP(I40,'Job Codes'!$B$2:$J$120,9,FALSE)</f>
        <v>0.1</v>
      </c>
      <c r="CB40" s="253">
        <f t="shared" si="32"/>
        <v>2926.6000000000004</v>
      </c>
      <c r="CC40" s="72"/>
      <c r="CD40" s="25" t="str">
        <f t="shared" si="33"/>
        <v>Exceeds</v>
      </c>
      <c r="CE40" s="27"/>
      <c r="CF40" s="27"/>
      <c r="CG40" s="27"/>
      <c r="CH40" s="27"/>
      <c r="CI40" s="27"/>
      <c r="CJ40" s="3">
        <v>20714</v>
      </c>
      <c r="CK40" s="3" t="s">
        <v>198</v>
      </c>
      <c r="CL40" s="3">
        <v>4569</v>
      </c>
      <c r="CM40" s="3" t="s">
        <v>161</v>
      </c>
      <c r="CN40" s="3">
        <v>4571</v>
      </c>
      <c r="CO40" s="3" t="s">
        <v>162</v>
      </c>
      <c r="CP40" s="3">
        <v>12345</v>
      </c>
      <c r="CQ40" s="3" t="s">
        <v>163</v>
      </c>
      <c r="CR40" s="246" t="s">
        <v>166</v>
      </c>
      <c r="CS40" s="247" t="s">
        <v>167</v>
      </c>
      <c r="CT40" s="246" t="s">
        <v>199</v>
      </c>
      <c r="CU40" s="247" t="s">
        <v>200</v>
      </c>
      <c r="CV40" s="3" t="str">
        <f t="shared" si="34"/>
        <v>99485;36523</v>
      </c>
      <c r="CW40" s="3" t="s">
        <v>168</v>
      </c>
      <c r="CX40" s="3" t="str">
        <f t="shared" si="35"/>
        <v>;;BB40:BD40;;</v>
      </c>
      <c r="CY40" s="5" t="str">
        <f t="shared" si="36"/>
        <v>Unlock</v>
      </c>
      <c r="CZ40" s="5" t="str">
        <f t="shared" si="37"/>
        <v>Lock</v>
      </c>
      <c r="DA40" s="5" t="str">
        <f t="shared" si="38"/>
        <v>Lock</v>
      </c>
      <c r="DB40" s="5" t="str">
        <f t="shared" si="39"/>
        <v>Lock</v>
      </c>
      <c r="DC40" s="5" t="str">
        <f t="shared" si="40"/>
        <v>Lock</v>
      </c>
      <c r="DD40" s="78">
        <f t="shared" si="41"/>
        <v>2</v>
      </c>
      <c r="DE40" s="2"/>
      <c r="DF40" s="2"/>
      <c r="DG40" s="2"/>
      <c r="DH40" s="2"/>
      <c r="DI40" s="2"/>
      <c r="DJ40" s="2"/>
      <c r="DK40" s="5"/>
      <c r="DL40" s="2"/>
      <c r="DM40" s="2"/>
      <c r="DN40" s="2"/>
      <c r="DO40" s="2"/>
      <c r="DP40" s="2"/>
      <c r="DQ40" s="2"/>
      <c r="DR40" s="2"/>
      <c r="DS40" s="2"/>
      <c r="DT40" s="2"/>
      <c r="DU40" s="2"/>
      <c r="DV40" s="2"/>
      <c r="DW40" s="2"/>
      <c r="DX40" s="2"/>
      <c r="DY40" s="2"/>
      <c r="DZ40" s="2"/>
      <c r="EA40" s="2"/>
      <c r="EB40" s="2"/>
      <c r="EC40" s="2"/>
      <c r="ED40" s="2"/>
      <c r="EE40" s="2"/>
      <c r="EF40" s="1"/>
      <c r="EG40" s="98"/>
      <c r="EH40" s="98"/>
      <c r="EI40" s="1"/>
      <c r="EJ40" s="1"/>
      <c r="EK40" s="98"/>
      <c r="EL40" s="1"/>
    </row>
    <row r="41" spans="1:142">
      <c r="A41" s="32">
        <f t="shared" si="0"/>
        <v>2357</v>
      </c>
      <c r="B41" s="3" t="str">
        <f t="shared" si="1"/>
        <v>sv_statement//Statement//Export Statement&amp;PDFID=Gerald Halliday_2357&amp;SO=Y</v>
      </c>
      <c r="C41" s="5" t="str">
        <f t="shared" si="42"/>
        <v>Statement</v>
      </c>
      <c r="D41" s="5" t="str">
        <f t="shared" si="2"/>
        <v>Gerald Halliday_2357</v>
      </c>
      <c r="E41" s="5"/>
      <c r="F41" s="5">
        <v>2357</v>
      </c>
      <c r="G41" s="22" t="s">
        <v>247</v>
      </c>
      <c r="H41" s="5" t="s">
        <v>214</v>
      </c>
      <c r="I41" s="5" t="s">
        <v>248</v>
      </c>
      <c r="J41" s="5" t="s">
        <v>208</v>
      </c>
      <c r="K41" s="5" t="s">
        <v>209</v>
      </c>
      <c r="L41" s="31">
        <f t="shared" si="3"/>
        <v>20714</v>
      </c>
      <c r="M41" s="5" t="s">
        <v>198</v>
      </c>
      <c r="N41" s="22" t="s">
        <v>155</v>
      </c>
      <c r="O41" s="100">
        <v>37298</v>
      </c>
      <c r="P41" s="146">
        <f>VLOOKUP(I41,'Job Codes'!$B$2:$I$120,4,FALSE)</f>
        <v>27000</v>
      </c>
      <c r="Q41" s="146">
        <f>VLOOKUP(I41,'Job Codes'!$B$2:$I$120,5,FALSE)</f>
        <v>35100</v>
      </c>
      <c r="R41" s="146">
        <f>VLOOKUP(I41,'Job Codes'!$B$2:$I$120,6,FALSE)</f>
        <v>42120</v>
      </c>
      <c r="S41" s="22" t="s">
        <v>171</v>
      </c>
      <c r="T41" s="146">
        <v>30638</v>
      </c>
      <c r="U41" s="8">
        <f>VLOOKUP(S41,Data!$H$22:$I$25,2,FALSE)*T41</f>
        <v>30638</v>
      </c>
      <c r="V41" s="180">
        <f t="shared" si="4"/>
        <v>0.87287749287749283</v>
      </c>
      <c r="W41" s="180">
        <f t="shared" si="5"/>
        <v>0.14563613812912071</v>
      </c>
      <c r="X41" s="22" t="str">
        <f t="shared" si="6"/>
        <v>Yes</v>
      </c>
      <c r="Y41" s="180">
        <f t="shared" si="7"/>
        <v>0.02</v>
      </c>
      <c r="Z41" s="146">
        <f t="shared" si="8"/>
        <v>612.76</v>
      </c>
      <c r="AA41" s="146">
        <f t="shared" si="9"/>
        <v>612.76</v>
      </c>
      <c r="AB41" s="72"/>
      <c r="AC41" s="146">
        <f>AB41/VLOOKUP(S41,Data!$H$22:$I$25,2,FALSE)</f>
        <v>0</v>
      </c>
      <c r="AD41" s="22" t="s">
        <v>157</v>
      </c>
      <c r="AE41" s="146">
        <f>VLOOKUP(S41,Data!$H$22:$J$25,3,FALSE)*T41</f>
        <v>919.14</v>
      </c>
      <c r="AF41" s="8">
        <f>VLOOKUP(S41,Data!$H$22:$I$25,2,FALSE)*AE41</f>
        <v>919.14</v>
      </c>
      <c r="AG41" s="8" t="s">
        <v>158</v>
      </c>
      <c r="AH41" s="23">
        <v>3.5000000000000003E-2</v>
      </c>
      <c r="AI41" s="72"/>
      <c r="AJ41" s="159">
        <f t="shared" si="10"/>
        <v>3.5000000000000003E-2</v>
      </c>
      <c r="AK41" s="168">
        <f t="shared" si="43"/>
        <v>1072.3300000000002</v>
      </c>
      <c r="AL41" s="160">
        <f t="shared" si="44"/>
        <v>1072.3300000000002</v>
      </c>
      <c r="AM41" s="168">
        <f t="shared" si="11"/>
        <v>31710.33</v>
      </c>
      <c r="AN41" s="160">
        <f t="shared" si="12"/>
        <v>31710.33</v>
      </c>
      <c r="AO41" s="160" t="str">
        <f t="shared" si="45"/>
        <v>No</v>
      </c>
      <c r="AP41" s="146">
        <f>IF(AQ41=0,0,AQ41/VLOOKUP(S41,Data!$H$22:$I$25,2,FALSE))</f>
        <v>0</v>
      </c>
      <c r="AQ41" s="183">
        <f t="shared" si="13"/>
        <v>0</v>
      </c>
      <c r="AR41" s="165">
        <f t="shared" si="14"/>
        <v>1072.3300000000002</v>
      </c>
      <c r="AS41" s="183">
        <f t="shared" si="15"/>
        <v>1072.3300000000002</v>
      </c>
      <c r="AT41" s="250">
        <f t="shared" si="16"/>
        <v>3.5000000000000003E-2</v>
      </c>
      <c r="AU41" s="146">
        <f t="shared" si="17"/>
        <v>31710.33</v>
      </c>
      <c r="AV41" s="8">
        <f t="shared" si="18"/>
        <v>31710.33</v>
      </c>
      <c r="AW41" s="8" t="str">
        <f t="shared" si="19"/>
        <v/>
      </c>
      <c r="AX41" s="180">
        <f t="shared" si="20"/>
        <v>0.90342820512820521</v>
      </c>
      <c r="AY41" s="146">
        <f t="shared" si="21"/>
        <v>0</v>
      </c>
      <c r="AZ41" s="146">
        <f t="shared" si="22"/>
        <v>0</v>
      </c>
      <c r="BA41" s="22" t="s">
        <v>159</v>
      </c>
      <c r="BB41" s="149"/>
      <c r="BC41" s="149"/>
      <c r="BD41" s="144"/>
      <c r="BE41" s="146" t="str">
        <f t="shared" si="23"/>
        <v/>
      </c>
      <c r="BF41" s="8" t="str">
        <f t="shared" si="24"/>
        <v/>
      </c>
      <c r="BG41" s="8" t="str">
        <f>IF(LEN(BC41)&gt;0,VLOOKUP(BC41,'Job Codes'!B34:I152,7,FALSE),"")</f>
        <v/>
      </c>
      <c r="BH41" s="192" t="str">
        <f>IF(LEN(BC41)&gt;0,VLOOKUP(BC41,'Job Codes'!B34:I152,8,FALSE),"")</f>
        <v/>
      </c>
      <c r="BI41" s="192" t="str">
        <f>IF(LEN(BC41)&gt;0,VLOOKUP(BC41,'Job Codes'!$B$2:$J$120,9,FALSE),"")</f>
        <v/>
      </c>
      <c r="BJ41" s="146" t="str">
        <f>IF(LEN(BC41)&gt;0,VLOOKUP(BC41,'Job Codes'!$B$2:$I$120,4,FALSE),"")</f>
        <v/>
      </c>
      <c r="BK41" s="146" t="str">
        <f>IF(LEN(BC41)&gt;0,VLOOKUP(BC41,'Job Codes'!$B$2:$I$120,5,FALSE),"")</f>
        <v/>
      </c>
      <c r="BL41" s="146" t="str">
        <f>IF(LEN(BC41)&gt;0,VLOOKUP(BC41,'Job Codes'!$B$2:$I$120,6,FALSE),"")</f>
        <v/>
      </c>
      <c r="BM41" s="168">
        <f t="shared" si="25"/>
        <v>31710.33</v>
      </c>
      <c r="BN41" s="160">
        <f t="shared" si="26"/>
        <v>31710.33</v>
      </c>
      <c r="BO41" s="22" t="s">
        <v>157</v>
      </c>
      <c r="BP41" s="157">
        <f>VLOOKUP(I41,'Job Codes'!$B$2:$I$120,8,FALSE)</f>
        <v>0.05</v>
      </c>
      <c r="BQ41" s="25" t="str">
        <f>IF(O41&gt;Data!$H$33,"Yes","No")</f>
        <v>No</v>
      </c>
      <c r="BR41" s="191">
        <v>0.05</v>
      </c>
      <c r="BS41" s="150">
        <f t="shared" si="27"/>
        <v>1531.9</v>
      </c>
      <c r="BT41" s="25">
        <f t="shared" si="28"/>
        <v>1531.9</v>
      </c>
      <c r="BU41" s="161">
        <v>1</v>
      </c>
      <c r="BV41" s="168">
        <f t="shared" si="29"/>
        <v>1531.9</v>
      </c>
      <c r="BW41" s="160">
        <f t="shared" si="30"/>
        <v>1531.9</v>
      </c>
      <c r="BX41" s="149"/>
      <c r="BY41" s="32">
        <f t="shared" si="31"/>
        <v>0</v>
      </c>
      <c r="BZ41" s="22" t="s">
        <v>159</v>
      </c>
      <c r="CA41" s="231">
        <f>VLOOKUP(I41,'Job Codes'!$B$2:$J$120,9,FALSE)</f>
        <v>0</v>
      </c>
      <c r="CB41" s="253">
        <f t="shared" si="32"/>
        <v>0</v>
      </c>
      <c r="CC41" s="72"/>
      <c r="CD41" s="25" t="str">
        <f t="shared" si="33"/>
        <v>Exceeds</v>
      </c>
      <c r="CE41" s="27"/>
      <c r="CF41" s="27"/>
      <c r="CG41" s="27"/>
      <c r="CH41" s="27"/>
      <c r="CI41" s="27"/>
      <c r="CJ41" s="3"/>
      <c r="CK41" s="3"/>
      <c r="CL41" s="3">
        <v>4569</v>
      </c>
      <c r="CM41" s="3" t="s">
        <v>161</v>
      </c>
      <c r="CN41" s="3">
        <v>4571</v>
      </c>
      <c r="CO41" s="3" t="s">
        <v>162</v>
      </c>
      <c r="CP41" s="3">
        <v>12345</v>
      </c>
      <c r="CQ41" s="3" t="s">
        <v>163</v>
      </c>
      <c r="CR41" s="246" t="s">
        <v>164</v>
      </c>
      <c r="CS41" s="247" t="s">
        <v>165</v>
      </c>
      <c r="CT41" s="246" t="s">
        <v>166</v>
      </c>
      <c r="CU41" s="247" t="s">
        <v>167</v>
      </c>
      <c r="CV41" s="3" t="str">
        <f t="shared" si="34"/>
        <v>67890;99485</v>
      </c>
      <c r="CW41" s="3" t="s">
        <v>168</v>
      </c>
      <c r="CX41" s="3" t="str">
        <f t="shared" si="35"/>
        <v>;;BB41:BD41;;CC41</v>
      </c>
      <c r="CY41" s="5" t="str">
        <f t="shared" si="36"/>
        <v>Unlock</v>
      </c>
      <c r="CZ41" s="5" t="str">
        <f t="shared" si="37"/>
        <v>Lock</v>
      </c>
      <c r="DA41" s="5" t="str">
        <f t="shared" si="38"/>
        <v>Lock</v>
      </c>
      <c r="DB41" s="5" t="str">
        <f t="shared" si="39"/>
        <v>Lock</v>
      </c>
      <c r="DC41" s="5" t="str">
        <f t="shared" si="40"/>
        <v>Lock</v>
      </c>
      <c r="DD41" s="78">
        <f t="shared" si="41"/>
        <v>3</v>
      </c>
      <c r="DE41" s="2"/>
      <c r="DF41" s="2"/>
      <c r="DG41" s="2"/>
      <c r="DH41" s="2"/>
      <c r="DI41" s="2"/>
      <c r="DJ41" s="2"/>
      <c r="DK41" s="5"/>
      <c r="DL41" s="2"/>
      <c r="DM41" s="2"/>
      <c r="DN41" s="2"/>
      <c r="DO41" s="2"/>
      <c r="DP41" s="2"/>
      <c r="DQ41" s="2"/>
      <c r="DR41" s="2"/>
      <c r="DS41" s="2"/>
      <c r="DT41" s="2"/>
      <c r="DU41" s="2"/>
      <c r="DV41" s="2"/>
      <c r="DW41" s="2"/>
      <c r="DX41" s="2"/>
      <c r="DY41" s="2"/>
      <c r="DZ41" s="2"/>
      <c r="EA41" s="2"/>
      <c r="EB41" s="2"/>
      <c r="EC41" s="2"/>
      <c r="ED41" s="2"/>
      <c r="EE41" s="2"/>
      <c r="EF41" s="1"/>
      <c r="EG41" s="98"/>
      <c r="EH41" s="98"/>
      <c r="EI41" s="1"/>
      <c r="EJ41" s="1"/>
      <c r="EK41" s="98"/>
      <c r="EL41" s="1"/>
    </row>
    <row r="42" spans="1:142">
      <c r="A42" s="32">
        <f t="shared" si="0"/>
        <v>2394</v>
      </c>
      <c r="B42" s="3" t="str">
        <f t="shared" si="1"/>
        <v>sv_statement//Statement//Export Statement&amp;PDFID=Katherine Rutledge_2394&amp;SO=Y</v>
      </c>
      <c r="C42" s="5" t="str">
        <f t="shared" si="42"/>
        <v>Statement</v>
      </c>
      <c r="D42" s="5" t="str">
        <f t="shared" si="2"/>
        <v>Katherine Rutledge_2394</v>
      </c>
      <c r="E42" s="5"/>
      <c r="F42" s="5">
        <v>2394</v>
      </c>
      <c r="G42" s="22" t="s">
        <v>249</v>
      </c>
      <c r="H42" s="5" t="s">
        <v>250</v>
      </c>
      <c r="I42" s="5" t="s">
        <v>251</v>
      </c>
      <c r="J42" s="5" t="s">
        <v>252</v>
      </c>
      <c r="K42" s="5" t="s">
        <v>253</v>
      </c>
      <c r="L42" s="31">
        <f t="shared" si="3"/>
        <v>29342</v>
      </c>
      <c r="M42" s="5" t="s">
        <v>254</v>
      </c>
      <c r="N42" s="22" t="s">
        <v>155</v>
      </c>
      <c r="O42" s="100">
        <v>38026</v>
      </c>
      <c r="P42" s="146">
        <f>VLOOKUP(I42,'Job Codes'!$B$2:$I$120,4,FALSE)</f>
        <v>20000</v>
      </c>
      <c r="Q42" s="146">
        <f>VLOOKUP(I42,'Job Codes'!$B$2:$I$120,5,FALSE)</f>
        <v>26000</v>
      </c>
      <c r="R42" s="146">
        <f>VLOOKUP(I42,'Job Codes'!$B$2:$I$120,6,FALSE)</f>
        <v>31200</v>
      </c>
      <c r="S42" s="22" t="s">
        <v>171</v>
      </c>
      <c r="T42" s="146">
        <v>23500</v>
      </c>
      <c r="U42" s="8">
        <f>VLOOKUP(S42,Data!$H$22:$I$25,2,FALSE)*T42</f>
        <v>23500</v>
      </c>
      <c r="V42" s="180">
        <f t="shared" si="4"/>
        <v>0.90384615384615385</v>
      </c>
      <c r="W42" s="180">
        <f t="shared" si="5"/>
        <v>0.10638297872340426</v>
      </c>
      <c r="X42" s="22" t="str">
        <f t="shared" si="6"/>
        <v>Yes</v>
      </c>
      <c r="Y42" s="180">
        <f t="shared" si="7"/>
        <v>0.02</v>
      </c>
      <c r="Z42" s="146">
        <f t="shared" si="8"/>
        <v>470</v>
      </c>
      <c r="AA42" s="146">
        <f t="shared" si="9"/>
        <v>470</v>
      </c>
      <c r="AB42" s="72"/>
      <c r="AC42" s="146">
        <f>AB42/VLOOKUP(S42,Data!$H$22:$I$25,2,FALSE)</f>
        <v>0</v>
      </c>
      <c r="AD42" s="22" t="s">
        <v>157</v>
      </c>
      <c r="AE42" s="146">
        <f>VLOOKUP(S42,Data!$H$22:$J$25,3,FALSE)*T42</f>
        <v>705</v>
      </c>
      <c r="AF42" s="8">
        <f>VLOOKUP(S42,Data!$H$22:$I$25,2,FALSE)*AE42</f>
        <v>705</v>
      </c>
      <c r="AG42" s="8" t="s">
        <v>178</v>
      </c>
      <c r="AH42" s="23">
        <v>0.02</v>
      </c>
      <c r="AI42" s="72"/>
      <c r="AJ42" s="159">
        <f t="shared" si="10"/>
        <v>0.02</v>
      </c>
      <c r="AK42" s="168">
        <f t="shared" si="43"/>
        <v>470</v>
      </c>
      <c r="AL42" s="160">
        <f t="shared" si="44"/>
        <v>470</v>
      </c>
      <c r="AM42" s="168">
        <f t="shared" si="11"/>
        <v>23970</v>
      </c>
      <c r="AN42" s="160">
        <f t="shared" si="12"/>
        <v>23970</v>
      </c>
      <c r="AO42" s="160" t="str">
        <f t="shared" si="45"/>
        <v>No</v>
      </c>
      <c r="AP42" s="146">
        <f>IF(AQ42=0,0,AQ42/VLOOKUP(S42,Data!$H$22:$I$25,2,FALSE))</f>
        <v>0</v>
      </c>
      <c r="AQ42" s="183">
        <f t="shared" si="13"/>
        <v>0</v>
      </c>
      <c r="AR42" s="165">
        <f t="shared" si="14"/>
        <v>470</v>
      </c>
      <c r="AS42" s="183">
        <f t="shared" si="15"/>
        <v>470</v>
      </c>
      <c r="AT42" s="250">
        <f t="shared" si="16"/>
        <v>0.02</v>
      </c>
      <c r="AU42" s="146">
        <f t="shared" si="17"/>
        <v>23970</v>
      </c>
      <c r="AV42" s="8">
        <f t="shared" si="18"/>
        <v>23970</v>
      </c>
      <c r="AW42" s="8" t="str">
        <f t="shared" si="19"/>
        <v/>
      </c>
      <c r="AX42" s="180">
        <f t="shared" si="20"/>
        <v>0.92192307692307696</v>
      </c>
      <c r="AY42" s="146">
        <f t="shared" si="21"/>
        <v>0</v>
      </c>
      <c r="AZ42" s="146">
        <f t="shared" si="22"/>
        <v>0</v>
      </c>
      <c r="BA42" s="22" t="s">
        <v>159</v>
      </c>
      <c r="BB42" s="149"/>
      <c r="BC42" s="149"/>
      <c r="BD42" s="144"/>
      <c r="BE42" s="146" t="str">
        <f t="shared" si="23"/>
        <v/>
      </c>
      <c r="BF42" s="8" t="str">
        <f t="shared" si="24"/>
        <v/>
      </c>
      <c r="BG42" s="8" t="str">
        <f>IF(LEN(BC42)&gt;0,VLOOKUP(BC42,'Job Codes'!B35:I153,7,FALSE),"")</f>
        <v/>
      </c>
      <c r="BH42" s="192" t="str">
        <f>IF(LEN(BC42)&gt;0,VLOOKUP(BC42,'Job Codes'!B35:I153,8,FALSE),"")</f>
        <v/>
      </c>
      <c r="BI42" s="192" t="str">
        <f>IF(LEN(BC42)&gt;0,VLOOKUP(BC42,'Job Codes'!$B$2:$J$120,9,FALSE),"")</f>
        <v/>
      </c>
      <c r="BJ42" s="146" t="str">
        <f>IF(LEN(BC42)&gt;0,VLOOKUP(BC42,'Job Codes'!$B$2:$I$120,4,FALSE),"")</f>
        <v/>
      </c>
      <c r="BK42" s="146" t="str">
        <f>IF(LEN(BC42)&gt;0,VLOOKUP(BC42,'Job Codes'!$B$2:$I$120,5,FALSE),"")</f>
        <v/>
      </c>
      <c r="BL42" s="146" t="str">
        <f>IF(LEN(BC42)&gt;0,VLOOKUP(BC42,'Job Codes'!$B$2:$I$120,6,FALSE),"")</f>
        <v/>
      </c>
      <c r="BM42" s="168">
        <f t="shared" si="25"/>
        <v>23970</v>
      </c>
      <c r="BN42" s="160">
        <f t="shared" si="26"/>
        <v>23970</v>
      </c>
      <c r="BO42" s="22" t="s">
        <v>159</v>
      </c>
      <c r="BP42" s="157">
        <f>VLOOKUP(I42,'Job Codes'!$B$2:$I$120,8,FALSE)</f>
        <v>0</v>
      </c>
      <c r="BQ42" s="25" t="str">
        <f>IF(O42&gt;Data!$H$33,"Yes","No")</f>
        <v>No</v>
      </c>
      <c r="BR42" s="191">
        <v>0</v>
      </c>
      <c r="BS42" s="150">
        <f t="shared" si="27"/>
        <v>0</v>
      </c>
      <c r="BT42" s="25">
        <f t="shared" si="28"/>
        <v>0</v>
      </c>
      <c r="BU42" s="161">
        <v>1</v>
      </c>
      <c r="BV42" s="168">
        <f t="shared" si="29"/>
        <v>0</v>
      </c>
      <c r="BW42" s="160">
        <f t="shared" si="30"/>
        <v>0</v>
      </c>
      <c r="BX42" s="149"/>
      <c r="BY42" s="32">
        <f t="shared" si="31"/>
        <v>0</v>
      </c>
      <c r="BZ42" s="22" t="s">
        <v>159</v>
      </c>
      <c r="CA42" s="231">
        <f>VLOOKUP(I42,'Job Codes'!$B$2:$J$120,9,FALSE)</f>
        <v>0</v>
      </c>
      <c r="CB42" s="253">
        <f t="shared" si="32"/>
        <v>0</v>
      </c>
      <c r="CC42" s="72"/>
      <c r="CD42" s="25" t="str">
        <f t="shared" si="33"/>
        <v>Meets</v>
      </c>
      <c r="CE42" s="27"/>
      <c r="CF42" s="27"/>
      <c r="CG42" s="27"/>
      <c r="CH42" s="27"/>
      <c r="CI42" s="27"/>
      <c r="CJ42" s="3">
        <v>29271</v>
      </c>
      <c r="CK42" s="3" t="s">
        <v>255</v>
      </c>
      <c r="CL42" s="3">
        <v>4569</v>
      </c>
      <c r="CM42" s="3" t="s">
        <v>161</v>
      </c>
      <c r="CN42" s="3">
        <v>4571</v>
      </c>
      <c r="CO42" s="3" t="s">
        <v>162</v>
      </c>
      <c r="CP42" s="3">
        <v>12345</v>
      </c>
      <c r="CQ42" s="3" t="s">
        <v>163</v>
      </c>
      <c r="CR42" s="246" t="s">
        <v>164</v>
      </c>
      <c r="CS42" s="5" t="s">
        <v>165</v>
      </c>
      <c r="CT42" s="246" t="s">
        <v>256</v>
      </c>
      <c r="CU42" s="247" t="s">
        <v>257</v>
      </c>
      <c r="CV42" s="3" t="str">
        <f t="shared" si="34"/>
        <v>67890;86672</v>
      </c>
      <c r="CW42" s="3" t="s">
        <v>168</v>
      </c>
      <c r="CX42" s="3" t="str">
        <f t="shared" si="35"/>
        <v>;;BB42:BD42;BU42;BX42</v>
      </c>
      <c r="CY42" s="5" t="str">
        <f t="shared" si="36"/>
        <v>Unlock</v>
      </c>
      <c r="CZ42" s="5" t="str">
        <f t="shared" si="37"/>
        <v>Lock</v>
      </c>
      <c r="DA42" s="5" t="str">
        <f t="shared" si="38"/>
        <v>Lock</v>
      </c>
      <c r="DB42" s="5" t="str">
        <f t="shared" si="39"/>
        <v>Lock</v>
      </c>
      <c r="DC42" s="5" t="str">
        <f t="shared" si="40"/>
        <v>Lock</v>
      </c>
      <c r="DD42" s="78">
        <f t="shared" si="41"/>
        <v>2</v>
      </c>
      <c r="DE42" s="2"/>
      <c r="DF42" s="2"/>
      <c r="DG42" s="2"/>
      <c r="DH42" s="2"/>
      <c r="DI42" s="2"/>
      <c r="DJ42" s="2"/>
      <c r="DK42" s="5"/>
      <c r="DL42" s="2"/>
      <c r="DM42" s="2"/>
      <c r="DN42" s="2"/>
      <c r="DO42" s="2"/>
      <c r="DP42" s="2"/>
      <c r="DQ42" s="2"/>
      <c r="DR42" s="2"/>
      <c r="DS42" s="2"/>
      <c r="DT42" s="2"/>
      <c r="DU42" s="2"/>
      <c r="DV42" s="2"/>
      <c r="DW42" s="2"/>
      <c r="DX42" s="2"/>
      <c r="DY42" s="2"/>
      <c r="DZ42" s="2"/>
      <c r="EA42" s="2"/>
      <c r="EB42" s="2"/>
      <c r="EC42" s="2"/>
      <c r="ED42" s="2"/>
      <c r="EE42" s="2"/>
      <c r="EF42" s="1"/>
      <c r="EG42" s="98"/>
      <c r="EH42" s="98"/>
      <c r="EI42" s="1"/>
      <c r="EJ42" s="1"/>
      <c r="EK42" s="98"/>
      <c r="EL42" s="1"/>
    </row>
    <row r="43" spans="1:142">
      <c r="A43" s="32">
        <f t="shared" si="0"/>
        <v>2397</v>
      </c>
      <c r="B43" s="3" t="str">
        <f t="shared" si="1"/>
        <v>sv_statement//Statement//Export Statement&amp;PDFID=Jodi Hammons_2397&amp;SO=Y</v>
      </c>
      <c r="C43" s="5" t="str">
        <f t="shared" si="42"/>
        <v>Statement</v>
      </c>
      <c r="D43" s="5" t="str">
        <f t="shared" si="2"/>
        <v>Jodi Hammons_2397</v>
      </c>
      <c r="E43" s="5"/>
      <c r="F43" s="5">
        <v>2397</v>
      </c>
      <c r="G43" s="22" t="s">
        <v>258</v>
      </c>
      <c r="H43" s="5" t="s">
        <v>195</v>
      </c>
      <c r="I43" s="5" t="s">
        <v>259</v>
      </c>
      <c r="J43" s="5" t="s">
        <v>208</v>
      </c>
      <c r="K43" s="5" t="s">
        <v>211</v>
      </c>
      <c r="L43" s="31">
        <f t="shared" si="3"/>
        <v>11498</v>
      </c>
      <c r="M43" s="5" t="s">
        <v>197</v>
      </c>
      <c r="N43" s="22" t="s">
        <v>155</v>
      </c>
      <c r="O43" s="100">
        <v>37200</v>
      </c>
      <c r="P43" s="146">
        <f>VLOOKUP(I43,'Job Codes'!$B$2:$I$120,4,FALSE)</f>
        <v>33000</v>
      </c>
      <c r="Q43" s="146">
        <f>VLOOKUP(I43,'Job Codes'!$B$2:$I$120,5,FALSE)</f>
        <v>42900</v>
      </c>
      <c r="R43" s="146">
        <f>VLOOKUP(I43,'Job Codes'!$B$2:$I$120,6,FALSE)</f>
        <v>51480</v>
      </c>
      <c r="S43" s="22" t="s">
        <v>171</v>
      </c>
      <c r="T43" s="146">
        <v>42557</v>
      </c>
      <c r="U43" s="8">
        <f>VLOOKUP(S43,Data!$H$22:$I$25,2,FALSE)*T43</f>
        <v>42557</v>
      </c>
      <c r="V43" s="180">
        <f t="shared" si="4"/>
        <v>0.99200466200466197</v>
      </c>
      <c r="W43" s="180">
        <f t="shared" si="5"/>
        <v>8.0597786498108424E-3</v>
      </c>
      <c r="X43" s="22" t="str">
        <f t="shared" si="6"/>
        <v>No</v>
      </c>
      <c r="Y43" s="180">
        <f t="shared" si="7"/>
        <v>0</v>
      </c>
      <c r="Z43" s="146">
        <f t="shared" si="8"/>
        <v>0</v>
      </c>
      <c r="AA43" s="146">
        <f t="shared" si="9"/>
        <v>0</v>
      </c>
      <c r="AB43" s="72"/>
      <c r="AC43" s="146">
        <f>AB43/VLOOKUP(S43,Data!$H$22:$I$25,2,FALSE)</f>
        <v>0</v>
      </c>
      <c r="AD43" s="22" t="s">
        <v>157</v>
      </c>
      <c r="AE43" s="146">
        <f>VLOOKUP(S43,Data!$H$22:$J$25,3,FALSE)*T43</f>
        <v>1276.71</v>
      </c>
      <c r="AF43" s="8">
        <f>VLOOKUP(S43,Data!$H$22:$I$25,2,FALSE)*AE43</f>
        <v>1276.71</v>
      </c>
      <c r="AG43" s="8" t="s">
        <v>178</v>
      </c>
      <c r="AH43" s="23">
        <v>0.02</v>
      </c>
      <c r="AI43" s="72"/>
      <c r="AJ43" s="159">
        <f t="shared" si="10"/>
        <v>0.02</v>
      </c>
      <c r="AK43" s="168">
        <f t="shared" si="43"/>
        <v>851.14</v>
      </c>
      <c r="AL43" s="160">
        <f t="shared" si="44"/>
        <v>851.14</v>
      </c>
      <c r="AM43" s="168">
        <f t="shared" si="11"/>
        <v>43408.14</v>
      </c>
      <c r="AN43" s="160">
        <f t="shared" si="12"/>
        <v>43408.14</v>
      </c>
      <c r="AO43" s="160" t="str">
        <f t="shared" si="45"/>
        <v>No</v>
      </c>
      <c r="AP43" s="146">
        <f>IF(AQ43=0,0,AQ43/VLOOKUP(S43,Data!$H$22:$I$25,2,FALSE))</f>
        <v>0</v>
      </c>
      <c r="AQ43" s="183">
        <f t="shared" si="13"/>
        <v>0</v>
      </c>
      <c r="AR43" s="165">
        <f t="shared" si="14"/>
        <v>851.14</v>
      </c>
      <c r="AS43" s="183">
        <f t="shared" si="15"/>
        <v>851.14</v>
      </c>
      <c r="AT43" s="250">
        <f t="shared" si="16"/>
        <v>0.02</v>
      </c>
      <c r="AU43" s="146">
        <f t="shared" si="17"/>
        <v>43408.14</v>
      </c>
      <c r="AV43" s="8">
        <f t="shared" si="18"/>
        <v>43408.14</v>
      </c>
      <c r="AW43" s="8" t="str">
        <f t="shared" si="19"/>
        <v/>
      </c>
      <c r="AX43" s="180">
        <f t="shared" si="20"/>
        <v>1.0118447552447551</v>
      </c>
      <c r="AY43" s="146">
        <f t="shared" si="21"/>
        <v>0</v>
      </c>
      <c r="AZ43" s="146">
        <f t="shared" si="22"/>
        <v>0</v>
      </c>
      <c r="BA43" s="22" t="s">
        <v>159</v>
      </c>
      <c r="BB43" s="149"/>
      <c r="BC43" s="149"/>
      <c r="BD43" s="144"/>
      <c r="BE43" s="146" t="str">
        <f t="shared" si="23"/>
        <v/>
      </c>
      <c r="BF43" s="8" t="str">
        <f t="shared" si="24"/>
        <v/>
      </c>
      <c r="BG43" s="8" t="str">
        <f>IF(LEN(BC43)&gt;0,VLOOKUP(BC43,'Job Codes'!B36:I154,7,FALSE),"")</f>
        <v/>
      </c>
      <c r="BH43" s="192" t="str">
        <f>IF(LEN(BC43)&gt;0,VLOOKUP(BC43,'Job Codes'!B36:I154,8,FALSE),"")</f>
        <v/>
      </c>
      <c r="BI43" s="192" t="str">
        <f>IF(LEN(BC43)&gt;0,VLOOKUP(BC43,'Job Codes'!$B$2:$J$120,9,FALSE),"")</f>
        <v/>
      </c>
      <c r="BJ43" s="146" t="str">
        <f>IF(LEN(BC43)&gt;0,VLOOKUP(BC43,'Job Codes'!$B$2:$I$120,4,FALSE),"")</f>
        <v/>
      </c>
      <c r="BK43" s="146" t="str">
        <f>IF(LEN(BC43)&gt;0,VLOOKUP(BC43,'Job Codes'!$B$2:$I$120,5,FALSE),"")</f>
        <v/>
      </c>
      <c r="BL43" s="146" t="str">
        <f>IF(LEN(BC43)&gt;0,VLOOKUP(BC43,'Job Codes'!$B$2:$I$120,6,FALSE),"")</f>
        <v/>
      </c>
      <c r="BM43" s="168">
        <f t="shared" si="25"/>
        <v>43408.14</v>
      </c>
      <c r="BN43" s="160">
        <f t="shared" si="26"/>
        <v>43408.14</v>
      </c>
      <c r="BO43" s="22" t="s">
        <v>157</v>
      </c>
      <c r="BP43" s="157">
        <f>VLOOKUP(I43,'Job Codes'!$B$2:$I$120,8,FALSE)</f>
        <v>0.1</v>
      </c>
      <c r="BQ43" s="25" t="str">
        <f>IF(O43&gt;Data!$H$33,"Yes","No")</f>
        <v>No</v>
      </c>
      <c r="BR43" s="191">
        <v>0.1</v>
      </c>
      <c r="BS43" s="150">
        <f t="shared" si="27"/>
        <v>4255.7</v>
      </c>
      <c r="BT43" s="25">
        <f t="shared" si="28"/>
        <v>4255.7</v>
      </c>
      <c r="BU43" s="161">
        <v>1</v>
      </c>
      <c r="BV43" s="168">
        <f t="shared" si="29"/>
        <v>4255.7</v>
      </c>
      <c r="BW43" s="160">
        <f t="shared" si="30"/>
        <v>4255.7</v>
      </c>
      <c r="BX43" s="149"/>
      <c r="BY43" s="32">
        <f t="shared" si="31"/>
        <v>0</v>
      </c>
      <c r="BZ43" s="22" t="s">
        <v>157</v>
      </c>
      <c r="CA43" s="231">
        <f>VLOOKUP(I43,'Job Codes'!$B$2:$J$120,9,FALSE)</f>
        <v>0.1</v>
      </c>
      <c r="CB43" s="253">
        <f t="shared" si="32"/>
        <v>4255.7</v>
      </c>
      <c r="CC43" s="72"/>
      <c r="CD43" s="25" t="str">
        <f t="shared" si="33"/>
        <v>Meets</v>
      </c>
      <c r="CE43" s="27"/>
      <c r="CF43" s="27"/>
      <c r="CG43" s="27"/>
      <c r="CH43" s="27"/>
      <c r="CI43" s="27"/>
      <c r="CJ43" s="3">
        <v>20714</v>
      </c>
      <c r="CK43" s="3" t="s">
        <v>198</v>
      </c>
      <c r="CL43" s="3">
        <v>4569</v>
      </c>
      <c r="CM43" s="3" t="s">
        <v>161</v>
      </c>
      <c r="CN43" s="3">
        <v>4571</v>
      </c>
      <c r="CO43" s="3" t="s">
        <v>162</v>
      </c>
      <c r="CP43" s="3">
        <v>12345</v>
      </c>
      <c r="CQ43" s="3" t="s">
        <v>163</v>
      </c>
      <c r="CR43" s="246" t="s">
        <v>166</v>
      </c>
      <c r="CS43" s="247" t="s">
        <v>167</v>
      </c>
      <c r="CT43" s="246" t="s">
        <v>199</v>
      </c>
      <c r="CU43" s="247" t="s">
        <v>200</v>
      </c>
      <c r="CV43" s="3" t="str">
        <f t="shared" si="34"/>
        <v>99485;36523</v>
      </c>
      <c r="CW43" s="3" t="s">
        <v>168</v>
      </c>
      <c r="CX43" s="3" t="str">
        <f t="shared" si="35"/>
        <v>AB43;;BB43:BD43;;</v>
      </c>
      <c r="CY43" s="5" t="str">
        <f t="shared" si="36"/>
        <v>Unlock</v>
      </c>
      <c r="CZ43" s="5" t="str">
        <f t="shared" si="37"/>
        <v>Lock</v>
      </c>
      <c r="DA43" s="5" t="str">
        <f t="shared" si="38"/>
        <v>Lock</v>
      </c>
      <c r="DB43" s="5" t="str">
        <f t="shared" si="39"/>
        <v>Lock</v>
      </c>
      <c r="DC43" s="5" t="str">
        <f t="shared" si="40"/>
        <v>Lock</v>
      </c>
      <c r="DD43" s="78">
        <f t="shared" si="41"/>
        <v>2</v>
      </c>
      <c r="DE43" s="2"/>
      <c r="DF43" s="2"/>
      <c r="DG43" s="2"/>
      <c r="DH43" s="2"/>
      <c r="DI43" s="2"/>
      <c r="DJ43" s="2"/>
      <c r="DK43" s="5"/>
      <c r="DL43" s="2"/>
      <c r="DM43" s="2"/>
      <c r="DN43" s="2"/>
      <c r="DO43" s="2"/>
      <c r="DP43" s="2"/>
      <c r="DQ43" s="2"/>
      <c r="DR43" s="2"/>
      <c r="DS43" s="2"/>
      <c r="DT43" s="2"/>
      <c r="DU43" s="2"/>
      <c r="DV43" s="2"/>
      <c r="DW43" s="2"/>
      <c r="DX43" s="2"/>
      <c r="DY43" s="2"/>
      <c r="DZ43" s="2"/>
      <c r="EA43" s="2"/>
      <c r="EB43" s="2"/>
      <c r="EC43" s="2"/>
      <c r="ED43" s="2"/>
      <c r="EE43" s="2"/>
      <c r="EF43" s="1"/>
      <c r="EG43" s="98"/>
      <c r="EH43" s="98"/>
      <c r="EI43" s="1"/>
      <c r="EJ43" s="1"/>
      <c r="EK43" s="98"/>
      <c r="EL43" s="1"/>
    </row>
    <row r="44" spans="1:142">
      <c r="A44" s="32">
        <f t="shared" si="0"/>
        <v>2492</v>
      </c>
      <c r="B44" s="3" t="str">
        <f t="shared" si="1"/>
        <v>sv_statement//Statement//Export Statement&amp;PDFID=Margarita Rosas_2492&amp;SO=Y</v>
      </c>
      <c r="C44" s="5" t="str">
        <f t="shared" si="42"/>
        <v>Statement</v>
      </c>
      <c r="D44" s="5" t="str">
        <f t="shared" si="2"/>
        <v>Margarita Rosas_2492</v>
      </c>
      <c r="E44" s="5"/>
      <c r="F44" s="5">
        <v>2492</v>
      </c>
      <c r="G44" s="22" t="s">
        <v>260</v>
      </c>
      <c r="H44" s="5" t="s">
        <v>150</v>
      </c>
      <c r="I44" s="5" t="s">
        <v>261</v>
      </c>
      <c r="J44" s="5" t="s">
        <v>152</v>
      </c>
      <c r="K44" s="5" t="s">
        <v>153</v>
      </c>
      <c r="L44" s="31">
        <f t="shared" si="3"/>
        <v>11351</v>
      </c>
      <c r="M44" s="5" t="s">
        <v>177</v>
      </c>
      <c r="N44" s="22" t="s">
        <v>155</v>
      </c>
      <c r="O44" s="100">
        <v>36185</v>
      </c>
      <c r="P44" s="146">
        <f>VLOOKUP(I44,'Job Codes'!$B$2:$I$120,4,FALSE)</f>
        <v>23000</v>
      </c>
      <c r="Q44" s="146">
        <f>VLOOKUP(I44,'Job Codes'!$B$2:$I$120,5,FALSE)</f>
        <v>29900</v>
      </c>
      <c r="R44" s="146">
        <f>VLOOKUP(I44,'Job Codes'!$B$2:$I$120,6,FALSE)</f>
        <v>35880</v>
      </c>
      <c r="S44" s="22" t="s">
        <v>171</v>
      </c>
      <c r="T44" s="146">
        <v>22000</v>
      </c>
      <c r="U44" s="8">
        <f>VLOOKUP(S44,Data!$H$22:$I$25,2,FALSE)*T44</f>
        <v>22000</v>
      </c>
      <c r="V44" s="180">
        <f t="shared" si="4"/>
        <v>0.73578595317725748</v>
      </c>
      <c r="W44" s="180">
        <f t="shared" si="5"/>
        <v>0.35909090909090907</v>
      </c>
      <c r="X44" s="22" t="str">
        <f t="shared" si="6"/>
        <v>Yes</v>
      </c>
      <c r="Y44" s="180">
        <f t="shared" si="7"/>
        <v>0.02</v>
      </c>
      <c r="Z44" s="146">
        <f t="shared" si="8"/>
        <v>440</v>
      </c>
      <c r="AA44" s="146">
        <f t="shared" si="9"/>
        <v>440</v>
      </c>
      <c r="AB44" s="72"/>
      <c r="AC44" s="146">
        <f>AB44/VLOOKUP(S44,Data!$H$22:$I$25,2,FALSE)</f>
        <v>0</v>
      </c>
      <c r="AD44" s="22" t="s">
        <v>157</v>
      </c>
      <c r="AE44" s="146">
        <f>VLOOKUP(S44,Data!$H$22:$J$25,3,FALSE)*T44</f>
        <v>660</v>
      </c>
      <c r="AF44" s="8">
        <f>VLOOKUP(S44,Data!$H$22:$I$25,2,FALSE)*AE44</f>
        <v>660</v>
      </c>
      <c r="AG44" s="8" t="s">
        <v>178</v>
      </c>
      <c r="AH44" s="23">
        <v>2.5000000000000001E-2</v>
      </c>
      <c r="AI44" s="72"/>
      <c r="AJ44" s="159">
        <f t="shared" si="10"/>
        <v>2.5000000000000001E-2</v>
      </c>
      <c r="AK44" s="168">
        <f t="shared" si="43"/>
        <v>550</v>
      </c>
      <c r="AL44" s="160">
        <f t="shared" si="44"/>
        <v>550</v>
      </c>
      <c r="AM44" s="168">
        <f t="shared" si="11"/>
        <v>22550</v>
      </c>
      <c r="AN44" s="160">
        <f t="shared" si="12"/>
        <v>22550</v>
      </c>
      <c r="AO44" s="160" t="str">
        <f t="shared" si="45"/>
        <v>No</v>
      </c>
      <c r="AP44" s="146">
        <f>IF(AQ44=0,0,AQ44/VLOOKUP(S44,Data!$H$22:$I$25,2,FALSE))</f>
        <v>0</v>
      </c>
      <c r="AQ44" s="183">
        <f t="shared" si="13"/>
        <v>0</v>
      </c>
      <c r="AR44" s="165">
        <f t="shared" si="14"/>
        <v>550</v>
      </c>
      <c r="AS44" s="183">
        <f t="shared" si="15"/>
        <v>550</v>
      </c>
      <c r="AT44" s="250">
        <f t="shared" si="16"/>
        <v>2.5000000000000001E-2</v>
      </c>
      <c r="AU44" s="146">
        <f t="shared" si="17"/>
        <v>22550</v>
      </c>
      <c r="AV44" s="8">
        <f t="shared" si="18"/>
        <v>22550</v>
      </c>
      <c r="AW44" s="8" t="str">
        <f t="shared" si="19"/>
        <v/>
      </c>
      <c r="AX44" s="180">
        <f t="shared" si="20"/>
        <v>0.75418060200668902</v>
      </c>
      <c r="AY44" s="146">
        <f t="shared" si="21"/>
        <v>0</v>
      </c>
      <c r="AZ44" s="146">
        <f t="shared" si="22"/>
        <v>0</v>
      </c>
      <c r="BA44" s="22" t="s">
        <v>157</v>
      </c>
      <c r="BB44" s="149"/>
      <c r="BC44" s="149"/>
      <c r="BD44" s="144"/>
      <c r="BE44" s="146" t="str">
        <f t="shared" si="23"/>
        <v/>
      </c>
      <c r="BF44" s="8" t="str">
        <f t="shared" si="24"/>
        <v/>
      </c>
      <c r="BG44" s="8" t="str">
        <f>IF(LEN(BC44)&gt;0,VLOOKUP(BC44,'Job Codes'!B37:I155,7,FALSE),"")</f>
        <v/>
      </c>
      <c r="BH44" s="192" t="str">
        <f>IF(LEN(BC44)&gt;0,VLOOKUP(BC44,'Job Codes'!B37:I155,8,FALSE),"")</f>
        <v/>
      </c>
      <c r="BI44" s="192" t="str">
        <f>IF(LEN(BC44)&gt;0,VLOOKUP(BC44,'Job Codes'!$B$2:$J$120,9,FALSE),"")</f>
        <v/>
      </c>
      <c r="BJ44" s="146" t="str">
        <f>IF(LEN(BC44)&gt;0,VLOOKUP(BC44,'Job Codes'!$B$2:$I$120,4,FALSE),"")</f>
        <v/>
      </c>
      <c r="BK44" s="146" t="str">
        <f>IF(LEN(BC44)&gt;0,VLOOKUP(BC44,'Job Codes'!$B$2:$I$120,5,FALSE),"")</f>
        <v/>
      </c>
      <c r="BL44" s="146" t="str">
        <f>IF(LEN(BC44)&gt;0,VLOOKUP(BC44,'Job Codes'!$B$2:$I$120,6,FALSE),"")</f>
        <v/>
      </c>
      <c r="BM44" s="168">
        <f t="shared" si="25"/>
        <v>22550</v>
      </c>
      <c r="BN44" s="160">
        <f t="shared" si="26"/>
        <v>22550</v>
      </c>
      <c r="BO44" s="22" t="s">
        <v>159</v>
      </c>
      <c r="BP44" s="157">
        <f>VLOOKUP(I44,'Job Codes'!$B$2:$I$120,8,FALSE)</f>
        <v>0</v>
      </c>
      <c r="BQ44" s="25" t="str">
        <f>IF(O44&gt;Data!$H$33,"Yes","No")</f>
        <v>No</v>
      </c>
      <c r="BR44" s="191">
        <v>0</v>
      </c>
      <c r="BS44" s="150">
        <f t="shared" si="27"/>
        <v>0</v>
      </c>
      <c r="BT44" s="25">
        <f t="shared" si="28"/>
        <v>0</v>
      </c>
      <c r="BU44" s="161">
        <v>1</v>
      </c>
      <c r="BV44" s="168">
        <f t="shared" si="29"/>
        <v>0</v>
      </c>
      <c r="BW44" s="160">
        <f t="shared" si="30"/>
        <v>0</v>
      </c>
      <c r="BX44" s="149"/>
      <c r="BY44" s="32">
        <f t="shared" si="31"/>
        <v>0</v>
      </c>
      <c r="BZ44" s="22" t="s">
        <v>159</v>
      </c>
      <c r="CA44" s="231">
        <f>VLOOKUP(I44,'Job Codes'!$B$2:$J$120,9,FALSE)</f>
        <v>0</v>
      </c>
      <c r="CB44" s="253">
        <f t="shared" si="32"/>
        <v>0</v>
      </c>
      <c r="CC44" s="72"/>
      <c r="CD44" s="25" t="str">
        <f t="shared" si="33"/>
        <v>Meets</v>
      </c>
      <c r="CE44" s="27"/>
      <c r="CF44" s="27"/>
      <c r="CG44" s="27"/>
      <c r="CH44" s="27"/>
      <c r="CI44" s="27"/>
      <c r="CJ44" s="3">
        <v>11308</v>
      </c>
      <c r="CK44" s="3" t="s">
        <v>154</v>
      </c>
      <c r="CL44" s="3">
        <v>4569</v>
      </c>
      <c r="CM44" s="3" t="s">
        <v>161</v>
      </c>
      <c r="CN44" s="3">
        <v>4571</v>
      </c>
      <c r="CO44" s="3" t="s">
        <v>162</v>
      </c>
      <c r="CP44" s="3">
        <v>12345</v>
      </c>
      <c r="CQ44" s="3" t="s">
        <v>163</v>
      </c>
      <c r="CR44" s="246" t="s">
        <v>179</v>
      </c>
      <c r="CS44" s="247" t="s">
        <v>180</v>
      </c>
      <c r="CT44" s="246" t="s">
        <v>166</v>
      </c>
      <c r="CU44" s="247" t="s">
        <v>167</v>
      </c>
      <c r="CV44" s="3" t="str">
        <f t="shared" si="34"/>
        <v>90876;99485</v>
      </c>
      <c r="CW44" s="3" t="s">
        <v>168</v>
      </c>
      <c r="CX44" s="3" t="str">
        <f t="shared" si="35"/>
        <v>;;;BU44;BX44</v>
      </c>
      <c r="CY44" s="5" t="str">
        <f t="shared" si="36"/>
        <v>Unlock</v>
      </c>
      <c r="CZ44" s="5" t="str">
        <f t="shared" si="37"/>
        <v>Lock</v>
      </c>
      <c r="DA44" s="5" t="str">
        <f t="shared" si="38"/>
        <v>Lock</v>
      </c>
      <c r="DB44" s="5" t="str">
        <f t="shared" si="39"/>
        <v>Lock</v>
      </c>
      <c r="DC44" s="5" t="str">
        <f t="shared" si="40"/>
        <v>Lock</v>
      </c>
      <c r="DD44" s="78">
        <f t="shared" si="41"/>
        <v>2</v>
      </c>
      <c r="DE44" s="2"/>
      <c r="DF44" s="2"/>
      <c r="DG44" s="2"/>
      <c r="DH44" s="2"/>
      <c r="DI44" s="2"/>
      <c r="DJ44" s="2"/>
      <c r="DK44" s="5"/>
      <c r="DL44" s="2"/>
      <c r="DM44" s="2"/>
      <c r="DN44" s="2"/>
      <c r="DO44" s="2"/>
      <c r="DP44" s="2"/>
      <c r="DQ44" s="2"/>
      <c r="DR44" s="2"/>
      <c r="DS44" s="2"/>
      <c r="DT44" s="2"/>
      <c r="DU44" s="2"/>
      <c r="DV44" s="2"/>
      <c r="DW44" s="2"/>
      <c r="DX44" s="2"/>
      <c r="DY44" s="2"/>
      <c r="DZ44" s="2"/>
      <c r="EA44" s="2"/>
      <c r="EB44" s="2"/>
      <c r="EC44" s="2"/>
      <c r="ED44" s="2"/>
      <c r="EE44" s="2"/>
      <c r="EF44" s="1"/>
      <c r="EG44" s="98"/>
      <c r="EH44" s="98"/>
      <c r="EI44" s="1"/>
      <c r="EJ44" s="1"/>
      <c r="EK44" s="98"/>
      <c r="EL44" s="1"/>
    </row>
    <row r="45" spans="1:142">
      <c r="A45" s="32">
        <f t="shared" si="0"/>
        <v>2549</v>
      </c>
      <c r="B45" s="3" t="str">
        <f t="shared" si="1"/>
        <v>sv_statement//Statement//Export Statement&amp;PDFID=Gerald Gant_2549&amp;SO=Y</v>
      </c>
      <c r="C45" s="5" t="str">
        <f t="shared" si="42"/>
        <v>Statement</v>
      </c>
      <c r="D45" s="5" t="str">
        <f t="shared" si="2"/>
        <v>Gerald Gant_2549</v>
      </c>
      <c r="E45" s="5"/>
      <c r="F45" s="5">
        <v>2549</v>
      </c>
      <c r="G45" s="22" t="s">
        <v>262</v>
      </c>
      <c r="H45" s="5" t="s">
        <v>150</v>
      </c>
      <c r="I45" s="5" t="s">
        <v>263</v>
      </c>
      <c r="J45" s="5" t="s">
        <v>152</v>
      </c>
      <c r="K45" s="5" t="s">
        <v>153</v>
      </c>
      <c r="L45" s="31">
        <f t="shared" si="3"/>
        <v>11351</v>
      </c>
      <c r="M45" s="5" t="s">
        <v>177</v>
      </c>
      <c r="N45" s="22" t="s">
        <v>155</v>
      </c>
      <c r="O45" s="100">
        <v>31691</v>
      </c>
      <c r="P45" s="146">
        <f>VLOOKUP(I45,'Job Codes'!$B$2:$I$120,4,FALSE)</f>
        <v>23000</v>
      </c>
      <c r="Q45" s="146">
        <f>VLOOKUP(I45,'Job Codes'!$B$2:$I$120,5,FALSE)</f>
        <v>29900</v>
      </c>
      <c r="R45" s="146">
        <f>VLOOKUP(I45,'Job Codes'!$B$2:$I$120,6,FALSE)</f>
        <v>35880</v>
      </c>
      <c r="S45" s="22" t="s">
        <v>171</v>
      </c>
      <c r="T45" s="146">
        <v>25000</v>
      </c>
      <c r="U45" s="8">
        <f>VLOOKUP(S45,Data!$H$22:$I$25,2,FALSE)*T45</f>
        <v>25000</v>
      </c>
      <c r="V45" s="180">
        <f t="shared" si="4"/>
        <v>0.83612040133779264</v>
      </c>
      <c r="W45" s="180">
        <f t="shared" si="5"/>
        <v>0.19600000000000001</v>
      </c>
      <c r="X45" s="22" t="str">
        <f t="shared" si="6"/>
        <v>Yes</v>
      </c>
      <c r="Y45" s="180">
        <f t="shared" si="7"/>
        <v>0.02</v>
      </c>
      <c r="Z45" s="146">
        <f t="shared" si="8"/>
        <v>500</v>
      </c>
      <c r="AA45" s="146">
        <f t="shared" si="9"/>
        <v>500</v>
      </c>
      <c r="AB45" s="72"/>
      <c r="AC45" s="146">
        <f>AB45/VLOOKUP(S45,Data!$H$22:$I$25,2,FALSE)</f>
        <v>0</v>
      </c>
      <c r="AD45" s="22" t="s">
        <v>157</v>
      </c>
      <c r="AE45" s="146">
        <f>VLOOKUP(S45,Data!$H$22:$J$25,3,FALSE)*T45</f>
        <v>750</v>
      </c>
      <c r="AF45" s="8">
        <f>VLOOKUP(S45,Data!$H$22:$I$25,2,FALSE)*AE45</f>
        <v>750</v>
      </c>
      <c r="AG45" s="8" t="s">
        <v>178</v>
      </c>
      <c r="AH45" s="23">
        <v>2.1000000000000001E-2</v>
      </c>
      <c r="AI45" s="72"/>
      <c r="AJ45" s="159">
        <f t="shared" si="10"/>
        <v>2.1000000000000001E-2</v>
      </c>
      <c r="AK45" s="168">
        <f t="shared" si="43"/>
        <v>525</v>
      </c>
      <c r="AL45" s="160">
        <f t="shared" si="44"/>
        <v>525</v>
      </c>
      <c r="AM45" s="168">
        <f t="shared" si="11"/>
        <v>25525</v>
      </c>
      <c r="AN45" s="160">
        <f t="shared" si="12"/>
        <v>25525</v>
      </c>
      <c r="AO45" s="160" t="str">
        <f t="shared" si="45"/>
        <v>No</v>
      </c>
      <c r="AP45" s="146">
        <f>IF(AQ45=0,0,AQ45/VLOOKUP(S45,Data!$H$22:$I$25,2,FALSE))</f>
        <v>0</v>
      </c>
      <c r="AQ45" s="183">
        <f t="shared" si="13"/>
        <v>0</v>
      </c>
      <c r="AR45" s="165">
        <f t="shared" si="14"/>
        <v>525</v>
      </c>
      <c r="AS45" s="183">
        <f t="shared" si="15"/>
        <v>525</v>
      </c>
      <c r="AT45" s="250">
        <f t="shared" si="16"/>
        <v>2.1000000000000001E-2</v>
      </c>
      <c r="AU45" s="146">
        <f t="shared" si="17"/>
        <v>25525</v>
      </c>
      <c r="AV45" s="8">
        <f t="shared" si="18"/>
        <v>25525</v>
      </c>
      <c r="AW45" s="8" t="str">
        <f t="shared" si="19"/>
        <v/>
      </c>
      <c r="AX45" s="180">
        <f t="shared" si="20"/>
        <v>0.85367892976588633</v>
      </c>
      <c r="AY45" s="146">
        <f t="shared" si="21"/>
        <v>0</v>
      </c>
      <c r="AZ45" s="146">
        <f t="shared" si="22"/>
        <v>0</v>
      </c>
      <c r="BA45" s="22" t="s">
        <v>157</v>
      </c>
      <c r="BB45" s="149"/>
      <c r="BC45" s="149"/>
      <c r="BD45" s="144"/>
      <c r="BE45" s="146" t="str">
        <f t="shared" si="23"/>
        <v/>
      </c>
      <c r="BF45" s="8" t="str">
        <f t="shared" si="24"/>
        <v/>
      </c>
      <c r="BG45" s="8" t="str">
        <f>IF(LEN(BC45)&gt;0,VLOOKUP(BC45,'Job Codes'!B38:I156,7,FALSE),"")</f>
        <v/>
      </c>
      <c r="BH45" s="192" t="str">
        <f>IF(LEN(BC45)&gt;0,VLOOKUP(BC45,'Job Codes'!B38:I156,8,FALSE),"")</f>
        <v/>
      </c>
      <c r="BI45" s="192" t="str">
        <f>IF(LEN(BC45)&gt;0,VLOOKUP(BC45,'Job Codes'!$B$2:$J$120,9,FALSE),"")</f>
        <v/>
      </c>
      <c r="BJ45" s="146" t="str">
        <f>IF(LEN(BC45)&gt;0,VLOOKUP(BC45,'Job Codes'!$B$2:$I$120,4,FALSE),"")</f>
        <v/>
      </c>
      <c r="BK45" s="146" t="str">
        <f>IF(LEN(BC45)&gt;0,VLOOKUP(BC45,'Job Codes'!$B$2:$I$120,5,FALSE),"")</f>
        <v/>
      </c>
      <c r="BL45" s="146" t="str">
        <f>IF(LEN(BC45)&gt;0,VLOOKUP(BC45,'Job Codes'!$B$2:$I$120,6,FALSE),"")</f>
        <v/>
      </c>
      <c r="BM45" s="168">
        <f t="shared" si="25"/>
        <v>25525</v>
      </c>
      <c r="BN45" s="160">
        <f t="shared" si="26"/>
        <v>25525</v>
      </c>
      <c r="BO45" s="22" t="s">
        <v>159</v>
      </c>
      <c r="BP45" s="157">
        <f>VLOOKUP(I45,'Job Codes'!$B$2:$I$120,8,FALSE)</f>
        <v>0</v>
      </c>
      <c r="BQ45" s="25" t="str">
        <f>IF(O45&gt;Data!$H$33,"Yes","No")</f>
        <v>No</v>
      </c>
      <c r="BR45" s="191">
        <v>0</v>
      </c>
      <c r="BS45" s="150">
        <f t="shared" si="27"/>
        <v>0</v>
      </c>
      <c r="BT45" s="25">
        <f t="shared" si="28"/>
        <v>0</v>
      </c>
      <c r="BU45" s="161">
        <v>1</v>
      </c>
      <c r="BV45" s="168">
        <f t="shared" si="29"/>
        <v>0</v>
      </c>
      <c r="BW45" s="160">
        <f t="shared" si="30"/>
        <v>0</v>
      </c>
      <c r="BX45" s="149"/>
      <c r="BY45" s="32">
        <f t="shared" si="31"/>
        <v>0</v>
      </c>
      <c r="BZ45" s="22" t="s">
        <v>159</v>
      </c>
      <c r="CA45" s="231">
        <f>VLOOKUP(I45,'Job Codes'!$B$2:$J$120,9,FALSE)</f>
        <v>0</v>
      </c>
      <c r="CB45" s="253">
        <f t="shared" si="32"/>
        <v>0</v>
      </c>
      <c r="CC45" s="72"/>
      <c r="CD45" s="25" t="str">
        <f t="shared" si="33"/>
        <v>Meets</v>
      </c>
      <c r="CE45" s="27"/>
      <c r="CF45" s="27"/>
      <c r="CG45" s="27"/>
      <c r="CH45" s="27"/>
      <c r="CI45" s="27"/>
      <c r="CJ45" s="3">
        <v>11308</v>
      </c>
      <c r="CK45" s="3" t="s">
        <v>154</v>
      </c>
      <c r="CL45" s="3">
        <v>4569</v>
      </c>
      <c r="CM45" s="3" t="s">
        <v>161</v>
      </c>
      <c r="CN45" s="3">
        <v>4571</v>
      </c>
      <c r="CO45" s="3" t="s">
        <v>162</v>
      </c>
      <c r="CP45" s="3">
        <v>12345</v>
      </c>
      <c r="CQ45" s="3" t="s">
        <v>163</v>
      </c>
      <c r="CR45" s="246" t="s">
        <v>179</v>
      </c>
      <c r="CS45" s="247" t="s">
        <v>180</v>
      </c>
      <c r="CT45" s="246" t="s">
        <v>166</v>
      </c>
      <c r="CU45" s="247" t="s">
        <v>167</v>
      </c>
      <c r="CV45" s="3" t="str">
        <f t="shared" si="34"/>
        <v>90876;99485</v>
      </c>
      <c r="CW45" s="3" t="s">
        <v>168</v>
      </c>
      <c r="CX45" s="3" t="str">
        <f t="shared" si="35"/>
        <v>;;;BU45;BX45</v>
      </c>
      <c r="CY45" s="5" t="str">
        <f t="shared" si="36"/>
        <v>Unlock</v>
      </c>
      <c r="CZ45" s="5" t="str">
        <f t="shared" si="37"/>
        <v>Lock</v>
      </c>
      <c r="DA45" s="5" t="str">
        <f t="shared" si="38"/>
        <v>Lock</v>
      </c>
      <c r="DB45" s="5" t="str">
        <f t="shared" si="39"/>
        <v>Lock</v>
      </c>
      <c r="DC45" s="5" t="str">
        <f t="shared" si="40"/>
        <v>Lock</v>
      </c>
      <c r="DD45" s="78">
        <f t="shared" si="41"/>
        <v>2</v>
      </c>
      <c r="DE45" s="2"/>
      <c r="DF45" s="2"/>
      <c r="DG45" s="2"/>
      <c r="DH45" s="2"/>
      <c r="DI45" s="2"/>
      <c r="DJ45" s="2"/>
      <c r="DK45" s="5"/>
      <c r="DL45" s="2"/>
      <c r="DM45" s="2"/>
      <c r="DN45" s="2"/>
      <c r="DO45" s="2"/>
      <c r="DP45" s="2"/>
      <c r="DQ45" s="2"/>
      <c r="DR45" s="2"/>
      <c r="DS45" s="2"/>
      <c r="DT45" s="2"/>
      <c r="DU45" s="2"/>
      <c r="DV45" s="2"/>
      <c r="DW45" s="2"/>
      <c r="DX45" s="2"/>
      <c r="DY45" s="2"/>
      <c r="DZ45" s="2"/>
      <c r="EA45" s="2"/>
      <c r="EB45" s="2"/>
      <c r="EC45" s="2"/>
      <c r="ED45" s="2"/>
      <c r="EE45" s="2"/>
      <c r="EF45" s="1"/>
      <c r="EG45" s="98"/>
      <c r="EH45" s="98"/>
      <c r="EI45" s="1"/>
      <c r="EJ45" s="1"/>
      <c r="EK45" s="98"/>
      <c r="EL45" s="1"/>
    </row>
    <row r="46" spans="1:142">
      <c r="A46" s="32">
        <f t="shared" si="0"/>
        <v>2569</v>
      </c>
      <c r="B46" s="3" t="str">
        <f t="shared" si="1"/>
        <v>sv_statement//Statement//Export Statement&amp;PDFID=Kristine Asberry_2569&amp;SO=Y</v>
      </c>
      <c r="C46" s="5" t="str">
        <f t="shared" si="42"/>
        <v>Statement</v>
      </c>
      <c r="D46" s="5" t="str">
        <f t="shared" si="2"/>
        <v>Kristine Asberry_2569</v>
      </c>
      <c r="E46" s="5"/>
      <c r="F46" s="5">
        <v>2569</v>
      </c>
      <c r="G46" s="22" t="s">
        <v>264</v>
      </c>
      <c r="H46" s="5" t="s">
        <v>173</v>
      </c>
      <c r="I46" s="5" t="s">
        <v>174</v>
      </c>
      <c r="J46" s="5" t="s">
        <v>152</v>
      </c>
      <c r="K46" s="5" t="s">
        <v>153</v>
      </c>
      <c r="L46" s="31">
        <f t="shared" si="3"/>
        <v>11351</v>
      </c>
      <c r="M46" s="5" t="s">
        <v>177</v>
      </c>
      <c r="N46" s="22" t="s">
        <v>155</v>
      </c>
      <c r="O46" s="100">
        <v>36206</v>
      </c>
      <c r="P46" s="146">
        <f>VLOOKUP(I46,'Job Codes'!$B$2:$I$120,4,FALSE)</f>
        <v>37000</v>
      </c>
      <c r="Q46" s="146">
        <f>VLOOKUP(I46,'Job Codes'!$B$2:$I$120,5,FALSE)</f>
        <v>48100</v>
      </c>
      <c r="R46" s="146">
        <f>VLOOKUP(I46,'Job Codes'!$B$2:$I$120,6,FALSE)</f>
        <v>57720</v>
      </c>
      <c r="S46" s="22" t="s">
        <v>171</v>
      </c>
      <c r="T46" s="146">
        <v>34778</v>
      </c>
      <c r="U46" s="8">
        <f>VLOOKUP(S46,Data!$H$22:$I$25,2,FALSE)*T46</f>
        <v>34778</v>
      </c>
      <c r="V46" s="180">
        <f t="shared" si="4"/>
        <v>0.723035343035343</v>
      </c>
      <c r="W46" s="180">
        <f t="shared" si="5"/>
        <v>0.38305825521881648</v>
      </c>
      <c r="X46" s="22" t="str">
        <f t="shared" si="6"/>
        <v>Yes</v>
      </c>
      <c r="Y46" s="180">
        <f t="shared" si="7"/>
        <v>0.02</v>
      </c>
      <c r="Z46" s="146">
        <f t="shared" si="8"/>
        <v>695.56000000000006</v>
      </c>
      <c r="AA46" s="146">
        <f t="shared" si="9"/>
        <v>695.56000000000006</v>
      </c>
      <c r="AB46" s="72"/>
      <c r="AC46" s="146">
        <f>AB46/VLOOKUP(S46,Data!$H$22:$I$25,2,FALSE)</f>
        <v>0</v>
      </c>
      <c r="AD46" s="22" t="s">
        <v>157</v>
      </c>
      <c r="AE46" s="146">
        <f>VLOOKUP(S46,Data!$H$22:$J$25,3,FALSE)*T46</f>
        <v>1043.3399999999999</v>
      </c>
      <c r="AF46" s="8">
        <f>VLOOKUP(S46,Data!$H$22:$I$25,2,FALSE)*AE46</f>
        <v>1043.3399999999999</v>
      </c>
      <c r="AG46" s="8" t="s">
        <v>178</v>
      </c>
      <c r="AH46" s="23">
        <v>1.4999999999999999E-2</v>
      </c>
      <c r="AI46" s="72"/>
      <c r="AJ46" s="159">
        <f t="shared" si="10"/>
        <v>1.4999999999999999E-2</v>
      </c>
      <c r="AK46" s="168">
        <f t="shared" si="43"/>
        <v>521.66999999999996</v>
      </c>
      <c r="AL46" s="160">
        <f t="shared" si="44"/>
        <v>521.66999999999996</v>
      </c>
      <c r="AM46" s="168">
        <f t="shared" si="11"/>
        <v>35299.67</v>
      </c>
      <c r="AN46" s="160">
        <f t="shared" si="12"/>
        <v>35299.67</v>
      </c>
      <c r="AO46" s="160" t="str">
        <f t="shared" si="45"/>
        <v>No</v>
      </c>
      <c r="AP46" s="146">
        <f>IF(AQ46=0,0,AQ46/VLOOKUP(S46,Data!$H$22:$I$25,2,FALSE))</f>
        <v>0</v>
      </c>
      <c r="AQ46" s="183">
        <f t="shared" si="13"/>
        <v>0</v>
      </c>
      <c r="AR46" s="165">
        <f t="shared" si="14"/>
        <v>521.66999999999996</v>
      </c>
      <c r="AS46" s="183">
        <f t="shared" si="15"/>
        <v>521.66999999999996</v>
      </c>
      <c r="AT46" s="250">
        <f t="shared" si="16"/>
        <v>1.4999999999999999E-2</v>
      </c>
      <c r="AU46" s="146">
        <f t="shared" si="17"/>
        <v>35299.67</v>
      </c>
      <c r="AV46" s="8">
        <f t="shared" si="18"/>
        <v>35299.67</v>
      </c>
      <c r="AW46" s="8" t="str">
        <f t="shared" si="19"/>
        <v/>
      </c>
      <c r="AX46" s="180">
        <f t="shared" si="20"/>
        <v>0.73388087318087314</v>
      </c>
      <c r="AY46" s="146">
        <f t="shared" si="21"/>
        <v>0</v>
      </c>
      <c r="AZ46" s="146">
        <f t="shared" si="22"/>
        <v>0</v>
      </c>
      <c r="BA46" s="22" t="s">
        <v>159</v>
      </c>
      <c r="BB46" s="149"/>
      <c r="BC46" s="149"/>
      <c r="BD46" s="144"/>
      <c r="BE46" s="146" t="str">
        <f t="shared" si="23"/>
        <v/>
      </c>
      <c r="BF46" s="8" t="str">
        <f t="shared" si="24"/>
        <v/>
      </c>
      <c r="BG46" s="8" t="str">
        <f>IF(LEN(BC46)&gt;0,VLOOKUP(BC46,'Job Codes'!B39:I157,7,FALSE),"")</f>
        <v/>
      </c>
      <c r="BH46" s="192" t="str">
        <f>IF(LEN(BC46)&gt;0,VLOOKUP(BC46,'Job Codes'!B39:I157,8,FALSE),"")</f>
        <v/>
      </c>
      <c r="BI46" s="192" t="str">
        <f>IF(LEN(BC46)&gt;0,VLOOKUP(BC46,'Job Codes'!$B$2:$J$120,9,FALSE),"")</f>
        <v/>
      </c>
      <c r="BJ46" s="146" t="str">
        <f>IF(LEN(BC46)&gt;0,VLOOKUP(BC46,'Job Codes'!$B$2:$I$120,4,FALSE),"")</f>
        <v/>
      </c>
      <c r="BK46" s="146" t="str">
        <f>IF(LEN(BC46)&gt;0,VLOOKUP(BC46,'Job Codes'!$B$2:$I$120,5,FALSE),"")</f>
        <v/>
      </c>
      <c r="BL46" s="146" t="str">
        <f>IF(LEN(BC46)&gt;0,VLOOKUP(BC46,'Job Codes'!$B$2:$I$120,6,FALSE),"")</f>
        <v/>
      </c>
      <c r="BM46" s="168">
        <f t="shared" si="25"/>
        <v>35299.67</v>
      </c>
      <c r="BN46" s="160">
        <f t="shared" si="26"/>
        <v>35299.67</v>
      </c>
      <c r="BO46" s="22" t="s">
        <v>157</v>
      </c>
      <c r="BP46" s="157">
        <f>VLOOKUP(I46,'Job Codes'!$B$2:$I$120,8,FALSE)</f>
        <v>0.15</v>
      </c>
      <c r="BQ46" s="25" t="str">
        <f>IF(O46&gt;Data!$H$33,"Yes","No")</f>
        <v>No</v>
      </c>
      <c r="BR46" s="191">
        <v>0.15</v>
      </c>
      <c r="BS46" s="150">
        <f t="shared" si="27"/>
        <v>5216.7</v>
      </c>
      <c r="BT46" s="25">
        <f t="shared" si="28"/>
        <v>5216.7</v>
      </c>
      <c r="BU46" s="161">
        <v>1</v>
      </c>
      <c r="BV46" s="168">
        <f t="shared" si="29"/>
        <v>5216.7</v>
      </c>
      <c r="BW46" s="160">
        <f t="shared" si="30"/>
        <v>5216.7</v>
      </c>
      <c r="BX46" s="149"/>
      <c r="BY46" s="32">
        <f t="shared" si="31"/>
        <v>0</v>
      </c>
      <c r="BZ46" s="22" t="s">
        <v>157</v>
      </c>
      <c r="CA46" s="231">
        <f>VLOOKUP(I46,'Job Codes'!$B$2:$J$120,9,FALSE)</f>
        <v>0.15</v>
      </c>
      <c r="CB46" s="253">
        <f t="shared" si="32"/>
        <v>5216.7</v>
      </c>
      <c r="CC46" s="72"/>
      <c r="CD46" s="25" t="str">
        <f t="shared" si="33"/>
        <v>Meets</v>
      </c>
      <c r="CE46" s="27"/>
      <c r="CF46" s="27"/>
      <c r="CG46" s="27"/>
      <c r="CH46" s="27"/>
      <c r="CI46" s="27"/>
      <c r="CJ46" s="3">
        <v>11308</v>
      </c>
      <c r="CK46" s="3" t="s">
        <v>154</v>
      </c>
      <c r="CL46" s="3">
        <v>4569</v>
      </c>
      <c r="CM46" s="3" t="s">
        <v>161</v>
      </c>
      <c r="CN46" s="3">
        <v>4571</v>
      </c>
      <c r="CO46" s="3" t="s">
        <v>162</v>
      </c>
      <c r="CP46" s="3">
        <v>12345</v>
      </c>
      <c r="CQ46" s="3" t="s">
        <v>163</v>
      </c>
      <c r="CR46" s="246" t="s">
        <v>179</v>
      </c>
      <c r="CS46" s="247" t="s">
        <v>180</v>
      </c>
      <c r="CT46" s="246" t="s">
        <v>166</v>
      </c>
      <c r="CU46" s="247" t="s">
        <v>167</v>
      </c>
      <c r="CV46" s="3" t="str">
        <f t="shared" si="34"/>
        <v>90876;99485</v>
      </c>
      <c r="CW46" s="3" t="s">
        <v>168</v>
      </c>
      <c r="CX46" s="3" t="str">
        <f t="shared" si="35"/>
        <v>;;BB46:BD46;;</v>
      </c>
      <c r="CY46" s="5" t="str">
        <f t="shared" si="36"/>
        <v>Unlock</v>
      </c>
      <c r="CZ46" s="5" t="str">
        <f t="shared" si="37"/>
        <v>Lock</v>
      </c>
      <c r="DA46" s="5" t="str">
        <f t="shared" si="38"/>
        <v>Lock</v>
      </c>
      <c r="DB46" s="5" t="str">
        <f t="shared" si="39"/>
        <v>Lock</v>
      </c>
      <c r="DC46" s="5" t="str">
        <f t="shared" si="40"/>
        <v>Lock</v>
      </c>
      <c r="DD46" s="78">
        <f t="shared" si="41"/>
        <v>2</v>
      </c>
      <c r="DE46" s="2"/>
      <c r="DF46" s="2"/>
      <c r="DG46" s="2"/>
      <c r="DH46" s="2"/>
      <c r="DI46" s="2"/>
      <c r="DJ46" s="2"/>
      <c r="DK46" s="5"/>
      <c r="DL46" s="2"/>
      <c r="DM46" s="2"/>
      <c r="DN46" s="2"/>
      <c r="DO46" s="2"/>
      <c r="DP46" s="2"/>
      <c r="DQ46" s="2"/>
      <c r="DR46" s="2"/>
      <c r="DS46" s="2"/>
      <c r="DT46" s="2"/>
      <c r="DU46" s="2"/>
      <c r="DV46" s="2"/>
      <c r="DW46" s="2"/>
      <c r="DX46" s="2"/>
      <c r="DY46" s="2"/>
      <c r="DZ46" s="2"/>
      <c r="EA46" s="2"/>
      <c r="EB46" s="2"/>
      <c r="EC46" s="2"/>
      <c r="ED46" s="2"/>
      <c r="EE46" s="2"/>
      <c r="EF46" s="1"/>
      <c r="EG46" s="98"/>
      <c r="EH46" s="98"/>
      <c r="EI46" s="1"/>
      <c r="EJ46" s="1"/>
      <c r="EK46" s="98"/>
      <c r="EL46" s="1"/>
    </row>
    <row r="47" spans="1:142">
      <c r="A47" s="32">
        <f t="shared" si="0"/>
        <v>2583</v>
      </c>
      <c r="B47" s="3" t="str">
        <f t="shared" si="1"/>
        <v>sv_statement//Statement//Export Statement&amp;PDFID=Larry Lapp_2583&amp;SO=Y</v>
      </c>
      <c r="C47" s="5" t="str">
        <f t="shared" si="42"/>
        <v>Statement</v>
      </c>
      <c r="D47" s="5" t="str">
        <f t="shared" si="2"/>
        <v>Larry Lapp_2583</v>
      </c>
      <c r="E47" s="5"/>
      <c r="F47" s="5">
        <v>2583</v>
      </c>
      <c r="G47" s="22" t="s">
        <v>265</v>
      </c>
      <c r="H47" s="5" t="s">
        <v>214</v>
      </c>
      <c r="I47" s="5" t="s">
        <v>266</v>
      </c>
      <c r="J47" s="5" t="s">
        <v>208</v>
      </c>
      <c r="K47" s="5" t="s">
        <v>209</v>
      </c>
      <c r="L47" s="31">
        <f t="shared" si="3"/>
        <v>20714</v>
      </c>
      <c r="M47" s="5" t="s">
        <v>198</v>
      </c>
      <c r="N47" s="22" t="s">
        <v>155</v>
      </c>
      <c r="O47" s="100">
        <v>37292</v>
      </c>
      <c r="P47" s="146">
        <f>VLOOKUP(I47,'Job Codes'!$B$2:$I$120,4,FALSE)</f>
        <v>29000</v>
      </c>
      <c r="Q47" s="146">
        <f>VLOOKUP(I47,'Job Codes'!$B$2:$I$120,5,FALSE)</f>
        <v>37700</v>
      </c>
      <c r="R47" s="146">
        <f>VLOOKUP(I47,'Job Codes'!$B$2:$I$120,6,FALSE)</f>
        <v>45240</v>
      </c>
      <c r="S47" s="22" t="s">
        <v>171</v>
      </c>
      <c r="T47" s="146">
        <v>35443</v>
      </c>
      <c r="U47" s="8">
        <f>VLOOKUP(S47,Data!$H$22:$I$25,2,FALSE)*T47</f>
        <v>35443</v>
      </c>
      <c r="V47" s="180">
        <f t="shared" si="4"/>
        <v>0.94013262599469494</v>
      </c>
      <c r="W47" s="180">
        <f t="shared" si="5"/>
        <v>6.3679711085404739E-2</v>
      </c>
      <c r="X47" s="22" t="str">
        <f t="shared" si="6"/>
        <v>Yes</v>
      </c>
      <c r="Y47" s="180">
        <f t="shared" si="7"/>
        <v>0.02</v>
      </c>
      <c r="Z47" s="146">
        <f t="shared" si="8"/>
        <v>708.86</v>
      </c>
      <c r="AA47" s="146">
        <f t="shared" si="9"/>
        <v>708.86</v>
      </c>
      <c r="AB47" s="72"/>
      <c r="AC47" s="146">
        <f>AB47/VLOOKUP(S47,Data!$H$22:$I$25,2,FALSE)</f>
        <v>0</v>
      </c>
      <c r="AD47" s="22" t="s">
        <v>157</v>
      </c>
      <c r="AE47" s="146">
        <f>VLOOKUP(S47,Data!$H$22:$J$25,3,FALSE)*T47</f>
        <v>1063.29</v>
      </c>
      <c r="AF47" s="8">
        <f>VLOOKUP(S47,Data!$H$22:$I$25,2,FALSE)*AE47</f>
        <v>1063.29</v>
      </c>
      <c r="AG47" s="8" t="s">
        <v>158</v>
      </c>
      <c r="AH47" s="23">
        <v>3.5000000000000003E-2</v>
      </c>
      <c r="AI47" s="72"/>
      <c r="AJ47" s="159">
        <f t="shared" si="10"/>
        <v>3.5000000000000003E-2</v>
      </c>
      <c r="AK47" s="168">
        <f t="shared" si="43"/>
        <v>1240.5050000000001</v>
      </c>
      <c r="AL47" s="160">
        <f t="shared" si="44"/>
        <v>1240.5050000000001</v>
      </c>
      <c r="AM47" s="168">
        <f t="shared" si="11"/>
        <v>36683.504999999997</v>
      </c>
      <c r="AN47" s="160">
        <f t="shared" si="12"/>
        <v>36683.504999999997</v>
      </c>
      <c r="AO47" s="160" t="str">
        <f t="shared" si="45"/>
        <v>No</v>
      </c>
      <c r="AP47" s="146">
        <f>IF(AQ47=0,0,AQ47/VLOOKUP(S47,Data!$H$22:$I$25,2,FALSE))</f>
        <v>0</v>
      </c>
      <c r="AQ47" s="183">
        <f t="shared" si="13"/>
        <v>0</v>
      </c>
      <c r="AR47" s="165">
        <f t="shared" si="14"/>
        <v>1240.5050000000001</v>
      </c>
      <c r="AS47" s="183">
        <f t="shared" si="15"/>
        <v>1240.5050000000001</v>
      </c>
      <c r="AT47" s="250">
        <f t="shared" si="16"/>
        <v>3.5000000000000003E-2</v>
      </c>
      <c r="AU47" s="146">
        <f t="shared" si="17"/>
        <v>36683.504999999997</v>
      </c>
      <c r="AV47" s="8">
        <f t="shared" si="18"/>
        <v>36683.504999999997</v>
      </c>
      <c r="AW47" s="8" t="str">
        <f t="shared" si="19"/>
        <v/>
      </c>
      <c r="AX47" s="180">
        <f t="shared" si="20"/>
        <v>0.97303726790450917</v>
      </c>
      <c r="AY47" s="146">
        <f t="shared" si="21"/>
        <v>0</v>
      </c>
      <c r="AZ47" s="146">
        <f t="shared" si="22"/>
        <v>0</v>
      </c>
      <c r="BA47" s="22" t="s">
        <v>159</v>
      </c>
      <c r="BB47" s="149"/>
      <c r="BC47" s="149"/>
      <c r="BD47" s="144"/>
      <c r="BE47" s="146" t="str">
        <f t="shared" si="23"/>
        <v/>
      </c>
      <c r="BF47" s="8" t="str">
        <f t="shared" si="24"/>
        <v/>
      </c>
      <c r="BG47" s="8" t="str">
        <f>IF(LEN(BC47)&gt;0,VLOOKUP(BC47,'Job Codes'!B40:I158,7,FALSE),"")</f>
        <v/>
      </c>
      <c r="BH47" s="192" t="str">
        <f>IF(LEN(BC47)&gt;0,VLOOKUP(BC47,'Job Codes'!B40:I158,8,FALSE),"")</f>
        <v/>
      </c>
      <c r="BI47" s="192" t="str">
        <f>IF(LEN(BC47)&gt;0,VLOOKUP(BC47,'Job Codes'!$B$2:$J$120,9,FALSE),"")</f>
        <v/>
      </c>
      <c r="BJ47" s="146" t="str">
        <f>IF(LEN(BC47)&gt;0,VLOOKUP(BC47,'Job Codes'!$B$2:$I$120,4,FALSE),"")</f>
        <v/>
      </c>
      <c r="BK47" s="146" t="str">
        <f>IF(LEN(BC47)&gt;0,VLOOKUP(BC47,'Job Codes'!$B$2:$I$120,5,FALSE),"")</f>
        <v/>
      </c>
      <c r="BL47" s="146" t="str">
        <f>IF(LEN(BC47)&gt;0,VLOOKUP(BC47,'Job Codes'!$B$2:$I$120,6,FALSE),"")</f>
        <v/>
      </c>
      <c r="BM47" s="168">
        <f t="shared" si="25"/>
        <v>36683.504999999997</v>
      </c>
      <c r="BN47" s="160">
        <f t="shared" si="26"/>
        <v>36683.504999999997</v>
      </c>
      <c r="BO47" s="22" t="s">
        <v>157</v>
      </c>
      <c r="BP47" s="157">
        <f>VLOOKUP(I47,'Job Codes'!$B$2:$I$120,8,FALSE)</f>
        <v>0.1</v>
      </c>
      <c r="BQ47" s="25" t="str">
        <f>IF(O47&gt;Data!$H$33,"Yes","No")</f>
        <v>No</v>
      </c>
      <c r="BR47" s="191">
        <v>0.1</v>
      </c>
      <c r="BS47" s="150">
        <f t="shared" si="27"/>
        <v>3544.3</v>
      </c>
      <c r="BT47" s="25">
        <f t="shared" si="28"/>
        <v>3544.3</v>
      </c>
      <c r="BU47" s="161">
        <v>1</v>
      </c>
      <c r="BV47" s="168">
        <f t="shared" si="29"/>
        <v>3544.3</v>
      </c>
      <c r="BW47" s="160">
        <f t="shared" si="30"/>
        <v>3544.3</v>
      </c>
      <c r="BX47" s="149"/>
      <c r="BY47" s="32">
        <f t="shared" si="31"/>
        <v>0</v>
      </c>
      <c r="BZ47" s="22" t="s">
        <v>157</v>
      </c>
      <c r="CA47" s="231">
        <f>VLOOKUP(I47,'Job Codes'!$B$2:$J$120,9,FALSE)</f>
        <v>0.05</v>
      </c>
      <c r="CB47" s="253">
        <f t="shared" si="32"/>
        <v>1772.15</v>
      </c>
      <c r="CC47" s="72"/>
      <c r="CD47" s="25" t="str">
        <f t="shared" si="33"/>
        <v>Exceeds</v>
      </c>
      <c r="CE47" s="27"/>
      <c r="CF47" s="27"/>
      <c r="CG47" s="27"/>
      <c r="CH47" s="27"/>
      <c r="CI47" s="27"/>
      <c r="CJ47" s="3"/>
      <c r="CK47" s="3"/>
      <c r="CL47" s="3">
        <v>4569</v>
      </c>
      <c r="CM47" s="3" t="s">
        <v>161</v>
      </c>
      <c r="CN47" s="3">
        <v>4571</v>
      </c>
      <c r="CO47" s="3" t="s">
        <v>162</v>
      </c>
      <c r="CP47" s="3">
        <v>12345</v>
      </c>
      <c r="CQ47" s="3" t="s">
        <v>163</v>
      </c>
      <c r="CR47" s="246" t="s">
        <v>164</v>
      </c>
      <c r="CS47" s="247" t="s">
        <v>165</v>
      </c>
      <c r="CT47" s="246" t="s">
        <v>166</v>
      </c>
      <c r="CU47" s="247" t="s">
        <v>167</v>
      </c>
      <c r="CV47" s="3" t="str">
        <f t="shared" si="34"/>
        <v>67890;99485</v>
      </c>
      <c r="CW47" s="3" t="s">
        <v>168</v>
      </c>
      <c r="CX47" s="3" t="str">
        <f t="shared" si="35"/>
        <v>;;BB47:BD47;;</v>
      </c>
      <c r="CY47" s="5" t="str">
        <f t="shared" si="36"/>
        <v>Unlock</v>
      </c>
      <c r="CZ47" s="5" t="str">
        <f t="shared" si="37"/>
        <v>Lock</v>
      </c>
      <c r="DA47" s="5" t="str">
        <f t="shared" si="38"/>
        <v>Lock</v>
      </c>
      <c r="DB47" s="5" t="str">
        <f t="shared" si="39"/>
        <v>Lock</v>
      </c>
      <c r="DC47" s="5" t="str">
        <f t="shared" si="40"/>
        <v>Lock</v>
      </c>
      <c r="DD47" s="78">
        <f t="shared" si="41"/>
        <v>3</v>
      </c>
      <c r="DE47" s="2"/>
      <c r="DF47" s="2"/>
      <c r="DG47" s="2"/>
      <c r="DH47" s="2"/>
      <c r="DI47" s="2"/>
      <c r="DJ47" s="2"/>
      <c r="DK47" s="5"/>
      <c r="DL47" s="2"/>
      <c r="DM47" s="2"/>
      <c r="DN47" s="2"/>
      <c r="DO47" s="2"/>
      <c r="DP47" s="2"/>
      <c r="DQ47" s="2"/>
      <c r="DR47" s="2"/>
      <c r="DS47" s="2"/>
      <c r="DT47" s="2"/>
      <c r="DU47" s="2"/>
      <c r="DV47" s="2"/>
      <c r="DW47" s="2"/>
      <c r="DX47" s="2"/>
      <c r="DY47" s="2"/>
      <c r="DZ47" s="2"/>
      <c r="EA47" s="2"/>
      <c r="EB47" s="2"/>
      <c r="EC47" s="2"/>
      <c r="ED47" s="2"/>
      <c r="EE47" s="2"/>
      <c r="EF47" s="1"/>
      <c r="EG47" s="98"/>
      <c r="EH47" s="98"/>
      <c r="EI47" s="1"/>
      <c r="EJ47" s="1"/>
      <c r="EK47" s="98"/>
      <c r="EL47" s="1"/>
    </row>
    <row r="48" spans="1:142">
      <c r="A48" s="32">
        <f t="shared" si="0"/>
        <v>2643</v>
      </c>
      <c r="B48" s="3" t="str">
        <f t="shared" si="1"/>
        <v>sv_statement//Statement//Export Statement&amp;PDFID=Marilyn Wolfenbarger_2643&amp;SO=Y</v>
      </c>
      <c r="C48" s="5" t="str">
        <f t="shared" si="42"/>
        <v>Statement</v>
      </c>
      <c r="D48" s="5" t="str">
        <f t="shared" si="2"/>
        <v>Marilyn Wolfenbarger_2643</v>
      </c>
      <c r="E48" s="5"/>
      <c r="F48" s="5">
        <v>2643</v>
      </c>
      <c r="G48" s="22" t="s">
        <v>267</v>
      </c>
      <c r="H48" s="5" t="s">
        <v>214</v>
      </c>
      <c r="I48" s="5" t="s">
        <v>268</v>
      </c>
      <c r="J48" s="5" t="s">
        <v>208</v>
      </c>
      <c r="K48" s="5" t="s">
        <v>209</v>
      </c>
      <c r="L48" s="31">
        <f t="shared" si="3"/>
        <v>20714</v>
      </c>
      <c r="M48" s="5" t="s">
        <v>198</v>
      </c>
      <c r="N48" s="22" t="s">
        <v>155</v>
      </c>
      <c r="O48" s="100">
        <v>37298</v>
      </c>
      <c r="P48" s="146">
        <f>VLOOKUP(I48,'Job Codes'!$B$2:$I$120,4,FALSE)</f>
        <v>37000</v>
      </c>
      <c r="Q48" s="146">
        <f>VLOOKUP(I48,'Job Codes'!$B$2:$I$120,5,FALSE)</f>
        <v>48100</v>
      </c>
      <c r="R48" s="146">
        <f>VLOOKUP(I48,'Job Codes'!$B$2:$I$120,6,FALSE)</f>
        <v>57720</v>
      </c>
      <c r="S48" s="22" t="s">
        <v>171</v>
      </c>
      <c r="T48" s="146">
        <v>29661</v>
      </c>
      <c r="U48" s="8">
        <f>VLOOKUP(S48,Data!$H$22:$I$25,2,FALSE)*T48</f>
        <v>29661</v>
      </c>
      <c r="V48" s="180">
        <f t="shared" si="4"/>
        <v>0.61665280665280664</v>
      </c>
      <c r="W48" s="180">
        <f t="shared" si="5"/>
        <v>0.62165806951889691</v>
      </c>
      <c r="X48" s="22" t="str">
        <f t="shared" si="6"/>
        <v>Yes</v>
      </c>
      <c r="Y48" s="180">
        <f t="shared" si="7"/>
        <v>0.02</v>
      </c>
      <c r="Z48" s="146">
        <f t="shared" si="8"/>
        <v>593.22</v>
      </c>
      <c r="AA48" s="146">
        <f t="shared" si="9"/>
        <v>593.22</v>
      </c>
      <c r="AB48" s="72"/>
      <c r="AC48" s="146">
        <f>AB48/VLOOKUP(S48,Data!$H$22:$I$25,2,FALSE)</f>
        <v>0</v>
      </c>
      <c r="AD48" s="22" t="s">
        <v>157</v>
      </c>
      <c r="AE48" s="146">
        <f>VLOOKUP(S48,Data!$H$22:$J$25,3,FALSE)*T48</f>
        <v>889.82999999999993</v>
      </c>
      <c r="AF48" s="8">
        <f>VLOOKUP(S48,Data!$H$22:$I$25,2,FALSE)*AE48</f>
        <v>889.82999999999993</v>
      </c>
      <c r="AG48" s="8" t="s">
        <v>178</v>
      </c>
      <c r="AH48" s="23">
        <v>2.5000000000000001E-2</v>
      </c>
      <c r="AI48" s="72"/>
      <c r="AJ48" s="159">
        <f t="shared" si="10"/>
        <v>2.5000000000000001E-2</v>
      </c>
      <c r="AK48" s="168">
        <f t="shared" si="43"/>
        <v>741.52500000000009</v>
      </c>
      <c r="AL48" s="160">
        <f t="shared" si="44"/>
        <v>741.52500000000009</v>
      </c>
      <c r="AM48" s="168">
        <f t="shared" si="11"/>
        <v>30402.525000000001</v>
      </c>
      <c r="AN48" s="160">
        <f t="shared" si="12"/>
        <v>30402.525000000001</v>
      </c>
      <c r="AO48" s="160" t="str">
        <f t="shared" si="45"/>
        <v>No</v>
      </c>
      <c r="AP48" s="146">
        <f>IF(AQ48=0,0,AQ48/VLOOKUP(S48,Data!$H$22:$I$25,2,FALSE))</f>
        <v>0</v>
      </c>
      <c r="AQ48" s="183">
        <f t="shared" si="13"/>
        <v>0</v>
      </c>
      <c r="AR48" s="165">
        <f t="shared" si="14"/>
        <v>741.52500000000009</v>
      </c>
      <c r="AS48" s="183">
        <f t="shared" si="15"/>
        <v>741.52500000000009</v>
      </c>
      <c r="AT48" s="250">
        <f t="shared" si="16"/>
        <v>2.5000000000000001E-2</v>
      </c>
      <c r="AU48" s="146">
        <f t="shared" si="17"/>
        <v>30402.525000000001</v>
      </c>
      <c r="AV48" s="8">
        <f t="shared" si="18"/>
        <v>30402.525000000001</v>
      </c>
      <c r="AW48" s="8" t="str">
        <f t="shared" si="19"/>
        <v/>
      </c>
      <c r="AX48" s="180">
        <f t="shared" si="20"/>
        <v>0.63206912681912686</v>
      </c>
      <c r="AY48" s="146">
        <f t="shared" si="21"/>
        <v>0</v>
      </c>
      <c r="AZ48" s="146">
        <f t="shared" si="22"/>
        <v>0</v>
      </c>
      <c r="BA48" s="22" t="s">
        <v>159</v>
      </c>
      <c r="BB48" s="149"/>
      <c r="BC48" s="149"/>
      <c r="BD48" s="144"/>
      <c r="BE48" s="146" t="str">
        <f t="shared" si="23"/>
        <v/>
      </c>
      <c r="BF48" s="8" t="str">
        <f t="shared" si="24"/>
        <v/>
      </c>
      <c r="BG48" s="8" t="str">
        <f>IF(LEN(BC48)&gt;0,VLOOKUP(BC48,'Job Codes'!B41:I159,7,FALSE),"")</f>
        <v/>
      </c>
      <c r="BH48" s="192" t="str">
        <f>IF(LEN(BC48)&gt;0,VLOOKUP(BC48,'Job Codes'!B41:I159,8,FALSE),"")</f>
        <v/>
      </c>
      <c r="BI48" s="192" t="str">
        <f>IF(LEN(BC48)&gt;0,VLOOKUP(BC48,'Job Codes'!$B$2:$J$120,9,FALSE),"")</f>
        <v/>
      </c>
      <c r="BJ48" s="146" t="str">
        <f>IF(LEN(BC48)&gt;0,VLOOKUP(BC48,'Job Codes'!$B$2:$I$120,4,FALSE),"")</f>
        <v/>
      </c>
      <c r="BK48" s="146" t="str">
        <f>IF(LEN(BC48)&gt;0,VLOOKUP(BC48,'Job Codes'!$B$2:$I$120,5,FALSE),"")</f>
        <v/>
      </c>
      <c r="BL48" s="146" t="str">
        <f>IF(LEN(BC48)&gt;0,VLOOKUP(BC48,'Job Codes'!$B$2:$I$120,6,FALSE),"")</f>
        <v/>
      </c>
      <c r="BM48" s="168">
        <f t="shared" si="25"/>
        <v>30402.525000000001</v>
      </c>
      <c r="BN48" s="160">
        <f t="shared" si="26"/>
        <v>30402.525000000001</v>
      </c>
      <c r="BO48" s="22" t="s">
        <v>157</v>
      </c>
      <c r="BP48" s="157">
        <f>VLOOKUP(I48,'Job Codes'!$B$2:$I$120,8,FALSE)</f>
        <v>0.15</v>
      </c>
      <c r="BQ48" s="25" t="str">
        <f>IF(O48&gt;Data!$H$33,"Yes","No")</f>
        <v>No</v>
      </c>
      <c r="BR48" s="191">
        <v>0.15</v>
      </c>
      <c r="BS48" s="150">
        <f t="shared" si="27"/>
        <v>4449.1499999999996</v>
      </c>
      <c r="BT48" s="25">
        <f t="shared" si="28"/>
        <v>4449.1499999999996</v>
      </c>
      <c r="BU48" s="161">
        <v>1</v>
      </c>
      <c r="BV48" s="168">
        <f t="shared" si="29"/>
        <v>4449.1499999999996</v>
      </c>
      <c r="BW48" s="160">
        <f t="shared" si="30"/>
        <v>4449.1499999999996</v>
      </c>
      <c r="BX48" s="149"/>
      <c r="BY48" s="32">
        <f t="shared" si="31"/>
        <v>0</v>
      </c>
      <c r="BZ48" s="22" t="s">
        <v>157</v>
      </c>
      <c r="CA48" s="231">
        <f>VLOOKUP(I48,'Job Codes'!$B$2:$J$120,9,FALSE)</f>
        <v>0.15</v>
      </c>
      <c r="CB48" s="253">
        <f t="shared" si="32"/>
        <v>4449.1499999999996</v>
      </c>
      <c r="CC48" s="72"/>
      <c r="CD48" s="25" t="str">
        <f t="shared" si="33"/>
        <v>Meets</v>
      </c>
      <c r="CE48" s="27"/>
      <c r="CF48" s="27"/>
      <c r="CG48" s="27"/>
      <c r="CH48" s="27"/>
      <c r="CI48" s="27"/>
      <c r="CJ48" s="3"/>
      <c r="CK48" s="3"/>
      <c r="CL48" s="3">
        <v>4569</v>
      </c>
      <c r="CM48" s="3" t="s">
        <v>161</v>
      </c>
      <c r="CN48" s="3">
        <v>4571</v>
      </c>
      <c r="CO48" s="3" t="s">
        <v>162</v>
      </c>
      <c r="CP48" s="3">
        <v>12345</v>
      </c>
      <c r="CQ48" s="3" t="s">
        <v>163</v>
      </c>
      <c r="CR48" s="246" t="s">
        <v>164</v>
      </c>
      <c r="CS48" s="247" t="s">
        <v>165</v>
      </c>
      <c r="CT48" s="246" t="s">
        <v>166</v>
      </c>
      <c r="CU48" s="247" t="s">
        <v>167</v>
      </c>
      <c r="CV48" s="3" t="str">
        <f t="shared" si="34"/>
        <v>67890;99485</v>
      </c>
      <c r="CW48" s="3" t="s">
        <v>168</v>
      </c>
      <c r="CX48" s="3" t="str">
        <f t="shared" si="35"/>
        <v>;;BB48:BD48;;</v>
      </c>
      <c r="CY48" s="5" t="str">
        <f t="shared" si="36"/>
        <v>Unlock</v>
      </c>
      <c r="CZ48" s="5" t="str">
        <f t="shared" si="37"/>
        <v>Lock</v>
      </c>
      <c r="DA48" s="5" t="str">
        <f t="shared" si="38"/>
        <v>Lock</v>
      </c>
      <c r="DB48" s="5" t="str">
        <f t="shared" si="39"/>
        <v>Lock</v>
      </c>
      <c r="DC48" s="5" t="str">
        <f t="shared" si="40"/>
        <v>Lock</v>
      </c>
      <c r="DD48" s="78">
        <f t="shared" si="41"/>
        <v>3</v>
      </c>
      <c r="DE48" s="2"/>
      <c r="DF48" s="2"/>
      <c r="DG48" s="2"/>
      <c r="DH48" s="2"/>
      <c r="DI48" s="2"/>
      <c r="DJ48" s="2"/>
      <c r="DK48" s="5"/>
      <c r="DL48" s="2"/>
      <c r="DM48" s="2"/>
      <c r="DN48" s="2"/>
      <c r="DO48" s="2"/>
      <c r="DP48" s="2"/>
      <c r="DQ48" s="2"/>
      <c r="DR48" s="2"/>
      <c r="DS48" s="2"/>
      <c r="DT48" s="2"/>
      <c r="DU48" s="2"/>
      <c r="DV48" s="2"/>
      <c r="DW48" s="2"/>
      <c r="DX48" s="2"/>
      <c r="DY48" s="2"/>
      <c r="DZ48" s="2"/>
      <c r="EA48" s="2"/>
      <c r="EB48" s="2"/>
      <c r="EC48" s="2"/>
      <c r="ED48" s="2"/>
      <c r="EE48" s="2"/>
      <c r="EF48" s="1"/>
      <c r="EG48" s="98"/>
      <c r="EH48" s="98"/>
      <c r="EI48" s="1"/>
      <c r="EJ48" s="1"/>
      <c r="EK48" s="98"/>
      <c r="EL48" s="1"/>
    </row>
    <row r="49" spans="1:142">
      <c r="A49" s="32">
        <f t="shared" si="0"/>
        <v>2667</v>
      </c>
      <c r="B49" s="3" t="str">
        <f t="shared" si="1"/>
        <v>sv_statement//Statement//Export Statement&amp;PDFID=Robert Cruz_2667&amp;SO=Y</v>
      </c>
      <c r="C49" s="5" t="str">
        <f t="shared" si="42"/>
        <v>Statement</v>
      </c>
      <c r="D49" s="5" t="str">
        <f t="shared" si="2"/>
        <v>Robert Cruz_2667</v>
      </c>
      <c r="E49" s="5"/>
      <c r="F49" s="5">
        <v>2667</v>
      </c>
      <c r="G49" s="22" t="s">
        <v>269</v>
      </c>
      <c r="H49" s="5" t="s">
        <v>214</v>
      </c>
      <c r="I49" s="5" t="s">
        <v>270</v>
      </c>
      <c r="J49" s="5" t="s">
        <v>208</v>
      </c>
      <c r="K49" s="5" t="s">
        <v>209</v>
      </c>
      <c r="L49" s="31">
        <f t="shared" si="3"/>
        <v>20714</v>
      </c>
      <c r="M49" s="5" t="s">
        <v>198</v>
      </c>
      <c r="N49" s="22" t="s">
        <v>155</v>
      </c>
      <c r="O49" s="100">
        <v>37305</v>
      </c>
      <c r="P49" s="146">
        <f>VLOOKUP(I49,'Job Codes'!$B$2:$I$120,4,FALSE)</f>
        <v>33000</v>
      </c>
      <c r="Q49" s="146">
        <f>VLOOKUP(I49,'Job Codes'!$B$2:$I$120,5,FALSE)</f>
        <v>42900</v>
      </c>
      <c r="R49" s="146">
        <f>VLOOKUP(I49,'Job Codes'!$B$2:$I$120,6,FALSE)</f>
        <v>51480</v>
      </c>
      <c r="S49" s="22" t="s">
        <v>171</v>
      </c>
      <c r="T49" s="146">
        <v>28912</v>
      </c>
      <c r="U49" s="8">
        <f>VLOOKUP(S49,Data!$H$22:$I$25,2,FALSE)*T49</f>
        <v>28912</v>
      </c>
      <c r="V49" s="180">
        <f t="shared" si="4"/>
        <v>0.67393939393939395</v>
      </c>
      <c r="W49" s="180">
        <f t="shared" si="5"/>
        <v>0.48381294964028776</v>
      </c>
      <c r="X49" s="22" t="str">
        <f t="shared" si="6"/>
        <v>Yes</v>
      </c>
      <c r="Y49" s="180">
        <f t="shared" si="7"/>
        <v>0.02</v>
      </c>
      <c r="Z49" s="146">
        <f t="shared" si="8"/>
        <v>578.24</v>
      </c>
      <c r="AA49" s="146">
        <f t="shared" si="9"/>
        <v>578.24</v>
      </c>
      <c r="AB49" s="72"/>
      <c r="AC49" s="146">
        <f>AB49/VLOOKUP(S49,Data!$H$22:$I$25,2,FALSE)</f>
        <v>0</v>
      </c>
      <c r="AD49" s="22" t="s">
        <v>157</v>
      </c>
      <c r="AE49" s="146">
        <f>VLOOKUP(S49,Data!$H$22:$J$25,3,FALSE)*T49</f>
        <v>867.36</v>
      </c>
      <c r="AF49" s="8">
        <f>VLOOKUP(S49,Data!$H$22:$I$25,2,FALSE)*AE49</f>
        <v>867.36</v>
      </c>
      <c r="AG49" s="8" t="s">
        <v>158</v>
      </c>
      <c r="AH49" s="23">
        <v>0.03</v>
      </c>
      <c r="AI49" s="72"/>
      <c r="AJ49" s="159">
        <f t="shared" si="10"/>
        <v>0.03</v>
      </c>
      <c r="AK49" s="168">
        <f t="shared" si="43"/>
        <v>867.36</v>
      </c>
      <c r="AL49" s="160">
        <f t="shared" si="44"/>
        <v>867.36</v>
      </c>
      <c r="AM49" s="168">
        <f t="shared" si="11"/>
        <v>29779.360000000001</v>
      </c>
      <c r="AN49" s="160">
        <f t="shared" si="12"/>
        <v>29779.360000000001</v>
      </c>
      <c r="AO49" s="160" t="str">
        <f t="shared" si="45"/>
        <v>No</v>
      </c>
      <c r="AP49" s="146">
        <f>IF(AQ49=0,0,AQ49/VLOOKUP(S49,Data!$H$22:$I$25,2,FALSE))</f>
        <v>0</v>
      </c>
      <c r="AQ49" s="183">
        <f t="shared" si="13"/>
        <v>0</v>
      </c>
      <c r="AR49" s="165">
        <f t="shared" si="14"/>
        <v>867.36</v>
      </c>
      <c r="AS49" s="183">
        <f t="shared" si="15"/>
        <v>867.36</v>
      </c>
      <c r="AT49" s="250">
        <f t="shared" si="16"/>
        <v>0.03</v>
      </c>
      <c r="AU49" s="146">
        <f t="shared" si="17"/>
        <v>29779.360000000001</v>
      </c>
      <c r="AV49" s="8">
        <f t="shared" si="18"/>
        <v>29779.360000000001</v>
      </c>
      <c r="AW49" s="8" t="str">
        <f t="shared" si="19"/>
        <v/>
      </c>
      <c r="AX49" s="180">
        <f t="shared" si="20"/>
        <v>0.69415757575757575</v>
      </c>
      <c r="AY49" s="146">
        <f t="shared" si="21"/>
        <v>0</v>
      </c>
      <c r="AZ49" s="146">
        <f t="shared" si="22"/>
        <v>0</v>
      </c>
      <c r="BA49" s="22" t="s">
        <v>159</v>
      </c>
      <c r="BB49" s="149"/>
      <c r="BC49" s="149"/>
      <c r="BD49" s="144"/>
      <c r="BE49" s="146" t="str">
        <f t="shared" si="23"/>
        <v/>
      </c>
      <c r="BF49" s="8" t="str">
        <f t="shared" si="24"/>
        <v/>
      </c>
      <c r="BG49" s="8" t="str">
        <f>IF(LEN(BC49)&gt;0,VLOOKUP(BC49,'Job Codes'!B42:I160,7,FALSE),"")</f>
        <v/>
      </c>
      <c r="BH49" s="192" t="str">
        <f>IF(LEN(BC49)&gt;0,VLOOKUP(BC49,'Job Codes'!B42:I160,8,FALSE),"")</f>
        <v/>
      </c>
      <c r="BI49" s="192" t="str">
        <f>IF(LEN(BC49)&gt;0,VLOOKUP(BC49,'Job Codes'!$B$2:$J$120,9,FALSE),"")</f>
        <v/>
      </c>
      <c r="BJ49" s="146" t="str">
        <f>IF(LEN(BC49)&gt;0,VLOOKUP(BC49,'Job Codes'!$B$2:$I$120,4,FALSE),"")</f>
        <v/>
      </c>
      <c r="BK49" s="146" t="str">
        <f>IF(LEN(BC49)&gt;0,VLOOKUP(BC49,'Job Codes'!$B$2:$I$120,5,FALSE),"")</f>
        <v/>
      </c>
      <c r="BL49" s="146" t="str">
        <f>IF(LEN(BC49)&gt;0,VLOOKUP(BC49,'Job Codes'!$B$2:$I$120,6,FALSE),"")</f>
        <v/>
      </c>
      <c r="BM49" s="168">
        <f t="shared" si="25"/>
        <v>29779.360000000001</v>
      </c>
      <c r="BN49" s="160">
        <f t="shared" si="26"/>
        <v>29779.360000000001</v>
      </c>
      <c r="BO49" s="22" t="s">
        <v>157</v>
      </c>
      <c r="BP49" s="157">
        <f>VLOOKUP(I49,'Job Codes'!$B$2:$I$120,8,FALSE)</f>
        <v>0.1</v>
      </c>
      <c r="BQ49" s="25" t="str">
        <f>IF(O49&gt;Data!$H$33,"Yes","No")</f>
        <v>No</v>
      </c>
      <c r="BR49" s="191">
        <v>0.1</v>
      </c>
      <c r="BS49" s="150">
        <f t="shared" si="27"/>
        <v>2891.2000000000003</v>
      </c>
      <c r="BT49" s="25">
        <f t="shared" si="28"/>
        <v>2891.2000000000003</v>
      </c>
      <c r="BU49" s="161">
        <v>1</v>
      </c>
      <c r="BV49" s="168">
        <f t="shared" si="29"/>
        <v>2891.2000000000003</v>
      </c>
      <c r="BW49" s="160">
        <f t="shared" si="30"/>
        <v>2891.2000000000003</v>
      </c>
      <c r="BX49" s="149"/>
      <c r="BY49" s="32">
        <f t="shared" si="31"/>
        <v>0</v>
      </c>
      <c r="BZ49" s="22" t="s">
        <v>157</v>
      </c>
      <c r="CA49" s="231">
        <f>VLOOKUP(I49,'Job Codes'!$B$2:$J$120,9,FALSE)</f>
        <v>0.1</v>
      </c>
      <c r="CB49" s="253">
        <f t="shared" si="32"/>
        <v>2891.2000000000003</v>
      </c>
      <c r="CC49" s="72"/>
      <c r="CD49" s="25" t="str">
        <f t="shared" si="33"/>
        <v>Exceeds</v>
      </c>
      <c r="CE49" s="27"/>
      <c r="CF49" s="27"/>
      <c r="CG49" s="27"/>
      <c r="CH49" s="27"/>
      <c r="CI49" s="27"/>
      <c r="CJ49" s="3"/>
      <c r="CK49" s="3"/>
      <c r="CL49" s="3">
        <v>4569</v>
      </c>
      <c r="CM49" s="3" t="s">
        <v>161</v>
      </c>
      <c r="CN49" s="3">
        <v>4571</v>
      </c>
      <c r="CO49" s="3" t="s">
        <v>162</v>
      </c>
      <c r="CP49" s="3">
        <v>12345</v>
      </c>
      <c r="CQ49" s="3" t="s">
        <v>163</v>
      </c>
      <c r="CR49" s="246" t="s">
        <v>164</v>
      </c>
      <c r="CS49" s="247" t="s">
        <v>165</v>
      </c>
      <c r="CT49" s="246" t="s">
        <v>166</v>
      </c>
      <c r="CU49" s="247" t="s">
        <v>167</v>
      </c>
      <c r="CV49" s="3" t="str">
        <f t="shared" si="34"/>
        <v>67890;99485</v>
      </c>
      <c r="CW49" s="3" t="s">
        <v>168</v>
      </c>
      <c r="CX49" s="3" t="str">
        <f t="shared" si="35"/>
        <v>;;BB49:BD49;;</v>
      </c>
      <c r="CY49" s="5" t="str">
        <f t="shared" si="36"/>
        <v>Unlock</v>
      </c>
      <c r="CZ49" s="5" t="str">
        <f t="shared" si="37"/>
        <v>Lock</v>
      </c>
      <c r="DA49" s="5" t="str">
        <f t="shared" si="38"/>
        <v>Lock</v>
      </c>
      <c r="DB49" s="5" t="str">
        <f t="shared" si="39"/>
        <v>Lock</v>
      </c>
      <c r="DC49" s="5" t="str">
        <f t="shared" si="40"/>
        <v>Lock</v>
      </c>
      <c r="DD49" s="78">
        <f t="shared" si="41"/>
        <v>3</v>
      </c>
      <c r="DE49" s="2"/>
      <c r="DF49" s="2"/>
      <c r="DG49" s="2"/>
      <c r="DH49" s="2"/>
      <c r="DI49" s="2"/>
      <c r="DJ49" s="2"/>
      <c r="DK49" s="5"/>
      <c r="DL49" s="2"/>
      <c r="DM49" s="2"/>
      <c r="DN49" s="2"/>
      <c r="DO49" s="2"/>
      <c r="DP49" s="2"/>
      <c r="DQ49" s="2"/>
      <c r="DR49" s="2"/>
      <c r="DS49" s="2"/>
      <c r="DT49" s="2"/>
      <c r="DU49" s="2"/>
      <c r="DV49" s="2"/>
      <c r="DW49" s="2"/>
      <c r="DX49" s="2"/>
      <c r="DY49" s="2"/>
      <c r="DZ49" s="2"/>
      <c r="EA49" s="2"/>
      <c r="EB49" s="2"/>
      <c r="EC49" s="2"/>
      <c r="ED49" s="2"/>
      <c r="EE49" s="2"/>
      <c r="EF49" s="1"/>
      <c r="EG49" s="98"/>
      <c r="EH49" s="98"/>
      <c r="EI49" s="1"/>
      <c r="EJ49" s="1"/>
      <c r="EK49" s="98"/>
      <c r="EL49" s="1"/>
    </row>
    <row r="50" spans="1:142">
      <c r="A50" s="32">
        <f t="shared" si="0"/>
        <v>2727</v>
      </c>
      <c r="B50" s="3" t="str">
        <f t="shared" si="1"/>
        <v>sv_statement//Statement//Export Statement&amp;PDFID=Luis Palacio_2727&amp;SO=Y</v>
      </c>
      <c r="C50" s="5" t="str">
        <f t="shared" si="42"/>
        <v>Statement</v>
      </c>
      <c r="D50" s="5" t="str">
        <f t="shared" si="2"/>
        <v>Luis Palacio_2727</v>
      </c>
      <c r="E50" s="5"/>
      <c r="F50" s="5">
        <v>2727</v>
      </c>
      <c r="G50" s="22" t="s">
        <v>271</v>
      </c>
      <c r="H50" s="5" t="s">
        <v>214</v>
      </c>
      <c r="I50" s="5" t="s">
        <v>272</v>
      </c>
      <c r="J50" s="5" t="s">
        <v>208</v>
      </c>
      <c r="K50" s="5" t="s">
        <v>209</v>
      </c>
      <c r="L50" s="31">
        <f t="shared" si="3"/>
        <v>20714</v>
      </c>
      <c r="M50" s="5" t="s">
        <v>198</v>
      </c>
      <c r="N50" s="22" t="s">
        <v>155</v>
      </c>
      <c r="O50" s="100">
        <v>37319</v>
      </c>
      <c r="P50" s="146">
        <f>VLOOKUP(I50,'Job Codes'!$B$2:$I$120,4,FALSE)</f>
        <v>37000</v>
      </c>
      <c r="Q50" s="146">
        <f>VLOOKUP(I50,'Job Codes'!$B$2:$I$120,5,FALSE)</f>
        <v>48100</v>
      </c>
      <c r="R50" s="146">
        <f>VLOOKUP(I50,'Job Codes'!$B$2:$I$120,6,FALSE)</f>
        <v>57720</v>
      </c>
      <c r="S50" s="22" t="s">
        <v>171</v>
      </c>
      <c r="T50" s="146">
        <v>34590</v>
      </c>
      <c r="U50" s="8">
        <f>VLOOKUP(S50,Data!$H$22:$I$25,2,FALSE)*T50</f>
        <v>34590</v>
      </c>
      <c r="V50" s="180">
        <f t="shared" si="4"/>
        <v>0.71912681912681908</v>
      </c>
      <c r="W50" s="180">
        <f t="shared" si="5"/>
        <v>0.39057531078346341</v>
      </c>
      <c r="X50" s="22" t="str">
        <f t="shared" si="6"/>
        <v>Yes</v>
      </c>
      <c r="Y50" s="180">
        <f t="shared" si="7"/>
        <v>0.02</v>
      </c>
      <c r="Z50" s="146">
        <f t="shared" si="8"/>
        <v>691.80000000000007</v>
      </c>
      <c r="AA50" s="146">
        <f t="shared" si="9"/>
        <v>691.80000000000007</v>
      </c>
      <c r="AB50" s="72"/>
      <c r="AC50" s="146">
        <f>AB50/VLOOKUP(S50,Data!$H$22:$I$25,2,FALSE)</f>
        <v>0</v>
      </c>
      <c r="AD50" s="22" t="s">
        <v>157</v>
      </c>
      <c r="AE50" s="146">
        <f>VLOOKUP(S50,Data!$H$22:$J$25,3,FALSE)*T50</f>
        <v>1037.7</v>
      </c>
      <c r="AF50" s="8">
        <f>VLOOKUP(S50,Data!$H$22:$I$25,2,FALSE)*AE50</f>
        <v>1037.7</v>
      </c>
      <c r="AG50" s="8" t="s">
        <v>178</v>
      </c>
      <c r="AH50" s="23">
        <v>2.5000000000000001E-2</v>
      </c>
      <c r="AI50" s="72"/>
      <c r="AJ50" s="159">
        <f t="shared" si="10"/>
        <v>2.5000000000000001E-2</v>
      </c>
      <c r="AK50" s="168">
        <f t="shared" si="43"/>
        <v>864.75</v>
      </c>
      <c r="AL50" s="160">
        <f t="shared" si="44"/>
        <v>864.75</v>
      </c>
      <c r="AM50" s="168">
        <f t="shared" si="11"/>
        <v>35454.75</v>
      </c>
      <c r="AN50" s="160">
        <f t="shared" si="12"/>
        <v>35454.75</v>
      </c>
      <c r="AO50" s="160" t="str">
        <f t="shared" si="45"/>
        <v>No</v>
      </c>
      <c r="AP50" s="146">
        <f>IF(AQ50=0,0,AQ50/VLOOKUP(S50,Data!$H$22:$I$25,2,FALSE))</f>
        <v>0</v>
      </c>
      <c r="AQ50" s="183">
        <f t="shared" si="13"/>
        <v>0</v>
      </c>
      <c r="AR50" s="165">
        <f t="shared" si="14"/>
        <v>864.75</v>
      </c>
      <c r="AS50" s="183">
        <f t="shared" si="15"/>
        <v>864.75</v>
      </c>
      <c r="AT50" s="250">
        <f t="shared" si="16"/>
        <v>2.5000000000000001E-2</v>
      </c>
      <c r="AU50" s="146">
        <f t="shared" si="17"/>
        <v>35454.75</v>
      </c>
      <c r="AV50" s="8">
        <f t="shared" si="18"/>
        <v>35454.75</v>
      </c>
      <c r="AW50" s="8" t="str">
        <f t="shared" si="19"/>
        <v/>
      </c>
      <c r="AX50" s="180">
        <f t="shared" si="20"/>
        <v>0.7371049896049896</v>
      </c>
      <c r="AY50" s="146">
        <f t="shared" si="21"/>
        <v>0</v>
      </c>
      <c r="AZ50" s="146">
        <f t="shared" si="22"/>
        <v>0</v>
      </c>
      <c r="BA50" s="22" t="s">
        <v>159</v>
      </c>
      <c r="BB50" s="149"/>
      <c r="BC50" s="149"/>
      <c r="BD50" s="144"/>
      <c r="BE50" s="146" t="str">
        <f t="shared" si="23"/>
        <v/>
      </c>
      <c r="BF50" s="8" t="str">
        <f t="shared" si="24"/>
        <v/>
      </c>
      <c r="BG50" s="8" t="str">
        <f>IF(LEN(BC50)&gt;0,VLOOKUP(BC50,'Job Codes'!B43:I161,7,FALSE),"")</f>
        <v/>
      </c>
      <c r="BH50" s="192" t="str">
        <f>IF(LEN(BC50)&gt;0,VLOOKUP(BC50,'Job Codes'!B43:I161,8,FALSE),"")</f>
        <v/>
      </c>
      <c r="BI50" s="192" t="str">
        <f>IF(LEN(BC50)&gt;0,VLOOKUP(BC50,'Job Codes'!$B$2:$J$120,9,FALSE),"")</f>
        <v/>
      </c>
      <c r="BJ50" s="146" t="str">
        <f>IF(LEN(BC50)&gt;0,VLOOKUP(BC50,'Job Codes'!$B$2:$I$120,4,FALSE),"")</f>
        <v/>
      </c>
      <c r="BK50" s="146" t="str">
        <f>IF(LEN(BC50)&gt;0,VLOOKUP(BC50,'Job Codes'!$B$2:$I$120,5,FALSE),"")</f>
        <v/>
      </c>
      <c r="BL50" s="146" t="str">
        <f>IF(LEN(BC50)&gt;0,VLOOKUP(BC50,'Job Codes'!$B$2:$I$120,6,FALSE),"")</f>
        <v/>
      </c>
      <c r="BM50" s="168">
        <f t="shared" si="25"/>
        <v>35454.75</v>
      </c>
      <c r="BN50" s="160">
        <f t="shared" si="26"/>
        <v>35454.75</v>
      </c>
      <c r="BO50" s="22" t="s">
        <v>157</v>
      </c>
      <c r="BP50" s="157">
        <f>VLOOKUP(I50,'Job Codes'!$B$2:$I$120,8,FALSE)</f>
        <v>0.15</v>
      </c>
      <c r="BQ50" s="25" t="str">
        <f>IF(O50&gt;Data!$H$33,"Yes","No")</f>
        <v>No</v>
      </c>
      <c r="BR50" s="191">
        <v>0.15</v>
      </c>
      <c r="BS50" s="150">
        <f t="shared" si="27"/>
        <v>5188.5</v>
      </c>
      <c r="BT50" s="25">
        <f t="shared" si="28"/>
        <v>5188.5</v>
      </c>
      <c r="BU50" s="161">
        <v>1</v>
      </c>
      <c r="BV50" s="168">
        <f t="shared" si="29"/>
        <v>5188.5</v>
      </c>
      <c r="BW50" s="160">
        <f t="shared" si="30"/>
        <v>5188.5</v>
      </c>
      <c r="BX50" s="149"/>
      <c r="BY50" s="32">
        <f t="shared" si="31"/>
        <v>0</v>
      </c>
      <c r="BZ50" s="22" t="s">
        <v>157</v>
      </c>
      <c r="CA50" s="231">
        <f>VLOOKUP(I50,'Job Codes'!$B$2:$J$120,9,FALSE)</f>
        <v>0.15</v>
      </c>
      <c r="CB50" s="253">
        <f t="shared" si="32"/>
        <v>5188.5</v>
      </c>
      <c r="CC50" s="72"/>
      <c r="CD50" s="25" t="str">
        <f t="shared" si="33"/>
        <v>Meets</v>
      </c>
      <c r="CE50" s="27"/>
      <c r="CF50" s="27"/>
      <c r="CG50" s="27"/>
      <c r="CH50" s="27"/>
      <c r="CI50" s="27"/>
      <c r="CJ50" s="3"/>
      <c r="CK50" s="3"/>
      <c r="CL50" s="3">
        <v>4569</v>
      </c>
      <c r="CM50" s="3" t="s">
        <v>161</v>
      </c>
      <c r="CN50" s="3">
        <v>4571</v>
      </c>
      <c r="CO50" s="3" t="s">
        <v>162</v>
      </c>
      <c r="CP50" s="3">
        <v>12345</v>
      </c>
      <c r="CQ50" s="3" t="s">
        <v>163</v>
      </c>
      <c r="CR50" s="246" t="s">
        <v>164</v>
      </c>
      <c r="CS50" s="247" t="s">
        <v>165</v>
      </c>
      <c r="CT50" s="246" t="s">
        <v>166</v>
      </c>
      <c r="CU50" s="247" t="s">
        <v>167</v>
      </c>
      <c r="CV50" s="3" t="str">
        <f t="shared" si="34"/>
        <v>67890;99485</v>
      </c>
      <c r="CW50" s="3" t="s">
        <v>168</v>
      </c>
      <c r="CX50" s="3" t="str">
        <f t="shared" si="35"/>
        <v>;;BB50:BD50;;</v>
      </c>
      <c r="CY50" s="5" t="str">
        <f t="shared" si="36"/>
        <v>Unlock</v>
      </c>
      <c r="CZ50" s="5" t="str">
        <f t="shared" si="37"/>
        <v>Lock</v>
      </c>
      <c r="DA50" s="5" t="str">
        <f t="shared" si="38"/>
        <v>Lock</v>
      </c>
      <c r="DB50" s="5" t="str">
        <f t="shared" si="39"/>
        <v>Lock</v>
      </c>
      <c r="DC50" s="5" t="str">
        <f t="shared" si="40"/>
        <v>Lock</v>
      </c>
      <c r="DD50" s="78">
        <f t="shared" si="41"/>
        <v>3</v>
      </c>
      <c r="DE50" s="2"/>
      <c r="DF50" s="2"/>
      <c r="DG50" s="2"/>
      <c r="DH50" s="2"/>
      <c r="DI50" s="2"/>
      <c r="DJ50" s="2"/>
      <c r="DK50" s="5"/>
      <c r="DL50" s="2"/>
      <c r="DM50" s="2"/>
      <c r="DN50" s="2"/>
      <c r="DO50" s="2"/>
      <c r="DP50" s="2"/>
      <c r="DQ50" s="2"/>
      <c r="DR50" s="2"/>
      <c r="DS50" s="2"/>
      <c r="DT50" s="2"/>
      <c r="DU50" s="2"/>
      <c r="DV50" s="2"/>
      <c r="DW50" s="2"/>
      <c r="DX50" s="2"/>
      <c r="DY50" s="2"/>
      <c r="DZ50" s="2"/>
      <c r="EA50" s="2"/>
      <c r="EB50" s="2"/>
      <c r="EC50" s="2"/>
      <c r="ED50" s="2"/>
      <c r="EE50" s="2"/>
      <c r="EF50" s="1"/>
      <c r="EG50" s="98"/>
      <c r="EH50" s="98"/>
      <c r="EI50" s="1"/>
      <c r="EJ50" s="1"/>
      <c r="EK50" s="98"/>
      <c r="EL50" s="1"/>
    </row>
    <row r="51" spans="1:142">
      <c r="A51" s="32">
        <f t="shared" si="0"/>
        <v>2750</v>
      </c>
      <c r="B51" s="3" t="str">
        <f t="shared" si="1"/>
        <v>sv_statement//Statement//Export Statement&amp;PDFID=Allen Huber_2750&amp;SO=Y</v>
      </c>
      <c r="C51" s="5" t="str">
        <f t="shared" si="42"/>
        <v>Statement</v>
      </c>
      <c r="D51" s="5" t="str">
        <f t="shared" si="2"/>
        <v>Allen Huber_2750</v>
      </c>
      <c r="E51" s="5"/>
      <c r="F51" s="5">
        <v>2750</v>
      </c>
      <c r="G51" s="22" t="s">
        <v>273</v>
      </c>
      <c r="H51" s="5" t="s">
        <v>214</v>
      </c>
      <c r="I51" s="5" t="s">
        <v>219</v>
      </c>
      <c r="J51" s="5" t="s">
        <v>208</v>
      </c>
      <c r="K51" s="5" t="s">
        <v>209</v>
      </c>
      <c r="L51" s="31">
        <f t="shared" si="3"/>
        <v>20714</v>
      </c>
      <c r="M51" s="5" t="s">
        <v>198</v>
      </c>
      <c r="N51" s="22" t="s">
        <v>155</v>
      </c>
      <c r="O51" s="100">
        <v>38397</v>
      </c>
      <c r="P51" s="146">
        <f>VLOOKUP(I51,'Job Codes'!$B$2:$I$120,4,FALSE)</f>
        <v>29000</v>
      </c>
      <c r="Q51" s="146">
        <f>VLOOKUP(I51,'Job Codes'!$B$2:$I$120,5,FALSE)</f>
        <v>37700</v>
      </c>
      <c r="R51" s="146">
        <f>VLOOKUP(I51,'Job Codes'!$B$2:$I$120,6,FALSE)</f>
        <v>45240</v>
      </c>
      <c r="S51" s="22" t="s">
        <v>171</v>
      </c>
      <c r="T51" s="146">
        <v>35194</v>
      </c>
      <c r="U51" s="8">
        <f>VLOOKUP(S51,Data!$H$22:$I$25,2,FALSE)*T51</f>
        <v>35194</v>
      </c>
      <c r="V51" s="180">
        <f t="shared" si="4"/>
        <v>0.93352785145888595</v>
      </c>
      <c r="W51" s="180">
        <f t="shared" si="5"/>
        <v>7.1205319088480989E-2</v>
      </c>
      <c r="X51" s="22" t="str">
        <f t="shared" si="6"/>
        <v>Yes</v>
      </c>
      <c r="Y51" s="180">
        <f t="shared" si="7"/>
        <v>0.02</v>
      </c>
      <c r="Z51" s="146">
        <f t="shared" si="8"/>
        <v>703.88</v>
      </c>
      <c r="AA51" s="146">
        <f t="shared" si="9"/>
        <v>703.88</v>
      </c>
      <c r="AB51" s="72"/>
      <c r="AC51" s="146">
        <f>AB51/VLOOKUP(S51,Data!$H$22:$I$25,2,FALSE)</f>
        <v>0</v>
      </c>
      <c r="AD51" s="22" t="s">
        <v>157</v>
      </c>
      <c r="AE51" s="146">
        <f>VLOOKUP(S51,Data!$H$22:$J$25,3,FALSE)*T51</f>
        <v>1055.82</v>
      </c>
      <c r="AF51" s="8">
        <f>VLOOKUP(S51,Data!$H$22:$I$25,2,FALSE)*AE51</f>
        <v>1055.82</v>
      </c>
      <c r="AG51" s="8" t="s">
        <v>178</v>
      </c>
      <c r="AH51" s="23">
        <v>1.4999999999999999E-2</v>
      </c>
      <c r="AI51" s="72"/>
      <c r="AJ51" s="159">
        <f t="shared" si="10"/>
        <v>1.4999999999999999E-2</v>
      </c>
      <c r="AK51" s="168">
        <f t="shared" si="43"/>
        <v>527.91</v>
      </c>
      <c r="AL51" s="160">
        <f t="shared" si="44"/>
        <v>527.91</v>
      </c>
      <c r="AM51" s="168">
        <f t="shared" si="11"/>
        <v>35721.910000000003</v>
      </c>
      <c r="AN51" s="160">
        <f t="shared" si="12"/>
        <v>35721.910000000003</v>
      </c>
      <c r="AO51" s="160" t="str">
        <f t="shared" si="45"/>
        <v>No</v>
      </c>
      <c r="AP51" s="146">
        <f>IF(AQ51=0,0,AQ51/VLOOKUP(S51,Data!$H$22:$I$25,2,FALSE))</f>
        <v>0</v>
      </c>
      <c r="AQ51" s="183">
        <f t="shared" si="13"/>
        <v>0</v>
      </c>
      <c r="AR51" s="165">
        <f t="shared" si="14"/>
        <v>527.91</v>
      </c>
      <c r="AS51" s="183">
        <f t="shared" si="15"/>
        <v>527.91</v>
      </c>
      <c r="AT51" s="250">
        <f t="shared" si="16"/>
        <v>1.4999999999999999E-2</v>
      </c>
      <c r="AU51" s="146">
        <f t="shared" si="17"/>
        <v>35721.910000000003</v>
      </c>
      <c r="AV51" s="8">
        <f t="shared" si="18"/>
        <v>35721.910000000003</v>
      </c>
      <c r="AW51" s="8" t="str">
        <f t="shared" si="19"/>
        <v/>
      </c>
      <c r="AX51" s="180">
        <f t="shared" si="20"/>
        <v>0.94753076923076929</v>
      </c>
      <c r="AY51" s="146">
        <f t="shared" si="21"/>
        <v>0</v>
      </c>
      <c r="AZ51" s="146">
        <f t="shared" si="22"/>
        <v>0</v>
      </c>
      <c r="BA51" s="22" t="s">
        <v>159</v>
      </c>
      <c r="BB51" s="149"/>
      <c r="BC51" s="149"/>
      <c r="BD51" s="144"/>
      <c r="BE51" s="146" t="str">
        <f t="shared" si="23"/>
        <v/>
      </c>
      <c r="BF51" s="8" t="str">
        <f t="shared" si="24"/>
        <v/>
      </c>
      <c r="BG51" s="8" t="str">
        <f>IF(LEN(BC51)&gt;0,VLOOKUP(BC51,'Job Codes'!B44:I162,7,FALSE),"")</f>
        <v/>
      </c>
      <c r="BH51" s="192" t="str">
        <f>IF(LEN(BC51)&gt;0,VLOOKUP(BC51,'Job Codes'!B44:I162,8,FALSE),"")</f>
        <v/>
      </c>
      <c r="BI51" s="192" t="str">
        <f>IF(LEN(BC51)&gt;0,VLOOKUP(BC51,'Job Codes'!$B$2:$J$120,9,FALSE),"")</f>
        <v/>
      </c>
      <c r="BJ51" s="146" t="str">
        <f>IF(LEN(BC51)&gt;0,VLOOKUP(BC51,'Job Codes'!$B$2:$I$120,4,FALSE),"")</f>
        <v/>
      </c>
      <c r="BK51" s="146" t="str">
        <f>IF(LEN(BC51)&gt;0,VLOOKUP(BC51,'Job Codes'!$B$2:$I$120,5,FALSE),"")</f>
        <v/>
      </c>
      <c r="BL51" s="146" t="str">
        <f>IF(LEN(BC51)&gt;0,VLOOKUP(BC51,'Job Codes'!$B$2:$I$120,6,FALSE),"")</f>
        <v/>
      </c>
      <c r="BM51" s="168">
        <f t="shared" si="25"/>
        <v>35721.910000000003</v>
      </c>
      <c r="BN51" s="160">
        <f t="shared" si="26"/>
        <v>35721.910000000003</v>
      </c>
      <c r="BO51" s="22" t="s">
        <v>157</v>
      </c>
      <c r="BP51" s="157">
        <f>VLOOKUP(I51,'Job Codes'!$B$2:$I$120,8,FALSE)</f>
        <v>0.1</v>
      </c>
      <c r="BQ51" s="25" t="str">
        <f>IF(O51&gt;Data!$H$33,"Yes","No")</f>
        <v>No</v>
      </c>
      <c r="BR51" s="191">
        <v>0.1</v>
      </c>
      <c r="BS51" s="150">
        <f t="shared" si="27"/>
        <v>3519.4</v>
      </c>
      <c r="BT51" s="25">
        <f t="shared" si="28"/>
        <v>3519.4</v>
      </c>
      <c r="BU51" s="161">
        <v>1</v>
      </c>
      <c r="BV51" s="168">
        <f t="shared" si="29"/>
        <v>3519.4</v>
      </c>
      <c r="BW51" s="160">
        <f t="shared" si="30"/>
        <v>3519.4</v>
      </c>
      <c r="BX51" s="149"/>
      <c r="BY51" s="32">
        <f t="shared" si="31"/>
        <v>0</v>
      </c>
      <c r="BZ51" s="22" t="s">
        <v>157</v>
      </c>
      <c r="CA51" s="231">
        <f>VLOOKUP(I51,'Job Codes'!$B$2:$J$120,9,FALSE)</f>
        <v>0.05</v>
      </c>
      <c r="CB51" s="253">
        <f t="shared" si="32"/>
        <v>1759.7</v>
      </c>
      <c r="CC51" s="72"/>
      <c r="CD51" s="25" t="str">
        <f t="shared" si="33"/>
        <v>Meets</v>
      </c>
      <c r="CE51" s="27"/>
      <c r="CF51" s="27"/>
      <c r="CG51" s="27"/>
      <c r="CH51" s="27"/>
      <c r="CI51" s="27"/>
      <c r="CJ51" s="3"/>
      <c r="CK51" s="3"/>
      <c r="CL51" s="3">
        <v>4569</v>
      </c>
      <c r="CM51" s="3" t="s">
        <v>161</v>
      </c>
      <c r="CN51" s="3">
        <v>4571</v>
      </c>
      <c r="CO51" s="3" t="s">
        <v>162</v>
      </c>
      <c r="CP51" s="3">
        <v>12345</v>
      </c>
      <c r="CQ51" s="3" t="s">
        <v>163</v>
      </c>
      <c r="CR51" s="246" t="s">
        <v>164</v>
      </c>
      <c r="CS51" s="247" t="s">
        <v>165</v>
      </c>
      <c r="CT51" s="246" t="s">
        <v>166</v>
      </c>
      <c r="CU51" s="247" t="s">
        <v>167</v>
      </c>
      <c r="CV51" s="3" t="str">
        <f t="shared" si="34"/>
        <v>67890;99485</v>
      </c>
      <c r="CW51" s="3" t="s">
        <v>168</v>
      </c>
      <c r="CX51" s="3" t="str">
        <f t="shared" si="35"/>
        <v>;;BB51:BD51;;</v>
      </c>
      <c r="CY51" s="5" t="str">
        <f t="shared" si="36"/>
        <v>Unlock</v>
      </c>
      <c r="CZ51" s="5" t="str">
        <f t="shared" si="37"/>
        <v>Lock</v>
      </c>
      <c r="DA51" s="5" t="str">
        <f t="shared" si="38"/>
        <v>Lock</v>
      </c>
      <c r="DB51" s="5" t="str">
        <f t="shared" si="39"/>
        <v>Lock</v>
      </c>
      <c r="DC51" s="5" t="str">
        <f t="shared" si="40"/>
        <v>Lock</v>
      </c>
      <c r="DD51" s="78">
        <f t="shared" si="41"/>
        <v>3</v>
      </c>
      <c r="DE51" s="2"/>
      <c r="DF51" s="2"/>
      <c r="DG51" s="2"/>
      <c r="DH51" s="2"/>
      <c r="DI51" s="2"/>
      <c r="DJ51" s="2"/>
      <c r="DK51" s="5"/>
      <c r="DL51" s="2"/>
      <c r="DM51" s="2"/>
      <c r="DN51" s="2"/>
      <c r="DO51" s="2"/>
      <c r="DP51" s="2"/>
      <c r="DQ51" s="2"/>
      <c r="DR51" s="2"/>
      <c r="DS51" s="2"/>
      <c r="DT51" s="2"/>
      <c r="DU51" s="2"/>
      <c r="DV51" s="2"/>
      <c r="DW51" s="2"/>
      <c r="DX51" s="2"/>
      <c r="DY51" s="2"/>
      <c r="DZ51" s="2"/>
      <c r="EA51" s="2"/>
      <c r="EB51" s="2"/>
      <c r="EC51" s="2"/>
      <c r="ED51" s="2"/>
      <c r="EE51" s="2"/>
      <c r="EF51" s="1"/>
      <c r="EG51" s="98"/>
      <c r="EH51" s="98"/>
      <c r="EI51" s="1"/>
      <c r="EJ51" s="1"/>
      <c r="EK51" s="98"/>
      <c r="EL51" s="1"/>
    </row>
    <row r="52" spans="1:142">
      <c r="A52" s="32">
        <f t="shared" si="0"/>
        <v>2764</v>
      </c>
      <c r="B52" s="3" t="str">
        <f t="shared" si="1"/>
        <v>sv_statement//Statement//Export Statement&amp;PDFID=Norman Corbitt_2764&amp;SO=Y</v>
      </c>
      <c r="C52" s="5" t="str">
        <f t="shared" si="42"/>
        <v>Statement</v>
      </c>
      <c r="D52" s="5" t="str">
        <f t="shared" si="2"/>
        <v>Norman Corbitt_2764</v>
      </c>
      <c r="E52" s="5"/>
      <c r="F52" s="5">
        <v>2764</v>
      </c>
      <c r="G52" s="22" t="s">
        <v>274</v>
      </c>
      <c r="H52" s="5" t="s">
        <v>214</v>
      </c>
      <c r="I52" s="5" t="s">
        <v>223</v>
      </c>
      <c r="J52" s="5" t="s">
        <v>220</v>
      </c>
      <c r="K52" s="5" t="s">
        <v>221</v>
      </c>
      <c r="L52" s="31">
        <f t="shared" si="3"/>
        <v>20714</v>
      </c>
      <c r="M52" s="5" t="s">
        <v>198</v>
      </c>
      <c r="N52" s="22" t="s">
        <v>155</v>
      </c>
      <c r="O52" s="100">
        <v>37466</v>
      </c>
      <c r="P52" s="146">
        <f>VLOOKUP(I52,'Job Codes'!$B$2:$I$120,4,FALSE)</f>
        <v>33000</v>
      </c>
      <c r="Q52" s="146">
        <f>VLOOKUP(I52,'Job Codes'!$B$2:$I$120,5,FALSE)</f>
        <v>42900</v>
      </c>
      <c r="R52" s="146">
        <f>VLOOKUP(I52,'Job Codes'!$B$2:$I$120,6,FALSE)</f>
        <v>51480</v>
      </c>
      <c r="S52" s="22" t="s">
        <v>171</v>
      </c>
      <c r="T52" s="146">
        <v>31304</v>
      </c>
      <c r="U52" s="8">
        <f>VLOOKUP(S52,Data!$H$22:$I$25,2,FALSE)*T52</f>
        <v>31304</v>
      </c>
      <c r="V52" s="180">
        <f t="shared" si="4"/>
        <v>0.72969696969696973</v>
      </c>
      <c r="W52" s="180">
        <f t="shared" si="5"/>
        <v>0.37043189368770763</v>
      </c>
      <c r="X52" s="22" t="str">
        <f t="shared" si="6"/>
        <v>Yes</v>
      </c>
      <c r="Y52" s="180">
        <f t="shared" si="7"/>
        <v>0.02</v>
      </c>
      <c r="Z52" s="146">
        <f t="shared" si="8"/>
        <v>626.08000000000004</v>
      </c>
      <c r="AA52" s="146">
        <f t="shared" si="9"/>
        <v>626.08000000000004</v>
      </c>
      <c r="AB52" s="72"/>
      <c r="AC52" s="146">
        <f>AB52/VLOOKUP(S52,Data!$H$22:$I$25,2,FALSE)</f>
        <v>0</v>
      </c>
      <c r="AD52" s="22" t="s">
        <v>157</v>
      </c>
      <c r="AE52" s="146">
        <f>VLOOKUP(S52,Data!$H$22:$J$25,3,FALSE)*T52</f>
        <v>939.12</v>
      </c>
      <c r="AF52" s="8">
        <f>VLOOKUP(S52,Data!$H$22:$I$25,2,FALSE)*AE52</f>
        <v>939.12</v>
      </c>
      <c r="AG52" s="8" t="s">
        <v>178</v>
      </c>
      <c r="AH52" s="23">
        <v>1.4999999999999999E-2</v>
      </c>
      <c r="AI52" s="72"/>
      <c r="AJ52" s="159">
        <f t="shared" si="10"/>
        <v>1.4999999999999999E-2</v>
      </c>
      <c r="AK52" s="168">
        <f t="shared" si="43"/>
        <v>469.56</v>
      </c>
      <c r="AL52" s="160">
        <f t="shared" si="44"/>
        <v>469.56</v>
      </c>
      <c r="AM52" s="168">
        <f t="shared" si="11"/>
        <v>31773.56</v>
      </c>
      <c r="AN52" s="160">
        <f t="shared" si="12"/>
        <v>31773.56</v>
      </c>
      <c r="AO52" s="160" t="str">
        <f t="shared" si="45"/>
        <v>No</v>
      </c>
      <c r="AP52" s="146">
        <f>IF(AQ52=0,0,AQ52/VLOOKUP(S52,Data!$H$22:$I$25,2,FALSE))</f>
        <v>0</v>
      </c>
      <c r="AQ52" s="183">
        <f t="shared" si="13"/>
        <v>0</v>
      </c>
      <c r="AR52" s="165">
        <f t="shared" si="14"/>
        <v>469.56</v>
      </c>
      <c r="AS52" s="183">
        <f t="shared" si="15"/>
        <v>469.56</v>
      </c>
      <c r="AT52" s="250">
        <f t="shared" si="16"/>
        <v>1.4999999999999999E-2</v>
      </c>
      <c r="AU52" s="146">
        <f t="shared" si="17"/>
        <v>31773.56</v>
      </c>
      <c r="AV52" s="8">
        <f t="shared" si="18"/>
        <v>31773.56</v>
      </c>
      <c r="AW52" s="8" t="str">
        <f t="shared" si="19"/>
        <v/>
      </c>
      <c r="AX52" s="180">
        <f t="shared" si="20"/>
        <v>0.74064242424242432</v>
      </c>
      <c r="AY52" s="146">
        <f t="shared" si="21"/>
        <v>0</v>
      </c>
      <c r="AZ52" s="146">
        <f t="shared" si="22"/>
        <v>0</v>
      </c>
      <c r="BA52" s="22" t="s">
        <v>159</v>
      </c>
      <c r="BB52" s="149"/>
      <c r="BC52" s="149"/>
      <c r="BD52" s="144"/>
      <c r="BE52" s="146" t="str">
        <f t="shared" si="23"/>
        <v/>
      </c>
      <c r="BF52" s="8" t="str">
        <f t="shared" si="24"/>
        <v/>
      </c>
      <c r="BG52" s="8" t="str">
        <f>IF(LEN(BC52)&gt;0,VLOOKUP(BC52,'Job Codes'!B45:I163,7,FALSE),"")</f>
        <v/>
      </c>
      <c r="BH52" s="192" t="str">
        <f>IF(LEN(BC52)&gt;0,VLOOKUP(BC52,'Job Codes'!B45:I163,8,FALSE),"")</f>
        <v/>
      </c>
      <c r="BI52" s="192" t="str">
        <f>IF(LEN(BC52)&gt;0,VLOOKUP(BC52,'Job Codes'!$B$2:$J$120,9,FALSE),"")</f>
        <v/>
      </c>
      <c r="BJ52" s="146" t="str">
        <f>IF(LEN(BC52)&gt;0,VLOOKUP(BC52,'Job Codes'!$B$2:$I$120,4,FALSE),"")</f>
        <v/>
      </c>
      <c r="BK52" s="146" t="str">
        <f>IF(LEN(BC52)&gt;0,VLOOKUP(BC52,'Job Codes'!$B$2:$I$120,5,FALSE),"")</f>
        <v/>
      </c>
      <c r="BL52" s="146" t="str">
        <f>IF(LEN(BC52)&gt;0,VLOOKUP(BC52,'Job Codes'!$B$2:$I$120,6,FALSE),"")</f>
        <v/>
      </c>
      <c r="BM52" s="168">
        <f t="shared" si="25"/>
        <v>31773.56</v>
      </c>
      <c r="BN52" s="160">
        <f t="shared" si="26"/>
        <v>31773.56</v>
      </c>
      <c r="BO52" s="22" t="s">
        <v>157</v>
      </c>
      <c r="BP52" s="157">
        <f>VLOOKUP(I52,'Job Codes'!$B$2:$I$120,8,FALSE)</f>
        <v>0.1</v>
      </c>
      <c r="BQ52" s="25" t="str">
        <f>IF(O52&gt;Data!$H$33,"Yes","No")</f>
        <v>No</v>
      </c>
      <c r="BR52" s="191">
        <v>0.1</v>
      </c>
      <c r="BS52" s="150">
        <f t="shared" si="27"/>
        <v>3130.4</v>
      </c>
      <c r="BT52" s="25">
        <f t="shared" si="28"/>
        <v>3130.4</v>
      </c>
      <c r="BU52" s="161">
        <v>1</v>
      </c>
      <c r="BV52" s="168">
        <f t="shared" si="29"/>
        <v>3130.4</v>
      </c>
      <c r="BW52" s="160">
        <f t="shared" si="30"/>
        <v>3130.4</v>
      </c>
      <c r="BX52" s="149"/>
      <c r="BY52" s="32">
        <f t="shared" si="31"/>
        <v>0</v>
      </c>
      <c r="BZ52" s="22" t="s">
        <v>157</v>
      </c>
      <c r="CA52" s="231">
        <f>VLOOKUP(I52,'Job Codes'!$B$2:$J$120,9,FALSE)</f>
        <v>0.1</v>
      </c>
      <c r="CB52" s="253">
        <f t="shared" si="32"/>
        <v>3130.4</v>
      </c>
      <c r="CC52" s="72"/>
      <c r="CD52" s="25" t="str">
        <f t="shared" si="33"/>
        <v>Meets</v>
      </c>
      <c r="CE52" s="27"/>
      <c r="CF52" s="27"/>
      <c r="CG52" s="27"/>
      <c r="CH52" s="27"/>
      <c r="CI52" s="27"/>
      <c r="CJ52" s="3"/>
      <c r="CK52" s="3"/>
      <c r="CL52" s="3">
        <v>4569</v>
      </c>
      <c r="CM52" s="3" t="s">
        <v>161</v>
      </c>
      <c r="CN52" s="3">
        <v>4571</v>
      </c>
      <c r="CO52" s="3" t="s">
        <v>162</v>
      </c>
      <c r="CP52" s="3">
        <v>12345</v>
      </c>
      <c r="CQ52" s="3" t="s">
        <v>163</v>
      </c>
      <c r="CR52" s="246" t="s">
        <v>164</v>
      </c>
      <c r="CS52" s="247" t="s">
        <v>165</v>
      </c>
      <c r="CT52" s="246" t="s">
        <v>166</v>
      </c>
      <c r="CU52" s="247" t="s">
        <v>167</v>
      </c>
      <c r="CV52" s="3" t="str">
        <f t="shared" si="34"/>
        <v>67890;99485</v>
      </c>
      <c r="CW52" s="3" t="s">
        <v>168</v>
      </c>
      <c r="CX52" s="3" t="str">
        <f t="shared" si="35"/>
        <v>;;BB52:BD52;;</v>
      </c>
      <c r="CY52" s="5" t="str">
        <f t="shared" si="36"/>
        <v>Unlock</v>
      </c>
      <c r="CZ52" s="5" t="str">
        <f t="shared" si="37"/>
        <v>Lock</v>
      </c>
      <c r="DA52" s="5" t="str">
        <f t="shared" si="38"/>
        <v>Lock</v>
      </c>
      <c r="DB52" s="5" t="str">
        <f t="shared" si="39"/>
        <v>Lock</v>
      </c>
      <c r="DC52" s="5" t="str">
        <f t="shared" si="40"/>
        <v>Lock</v>
      </c>
      <c r="DD52" s="78">
        <f t="shared" si="41"/>
        <v>3</v>
      </c>
      <c r="DE52" s="2"/>
      <c r="DF52" s="2"/>
      <c r="DG52" s="2"/>
      <c r="DH52" s="2"/>
      <c r="DI52" s="2"/>
      <c r="DJ52" s="2"/>
      <c r="DK52" s="5"/>
      <c r="DL52" s="2"/>
      <c r="DM52" s="2"/>
      <c r="DN52" s="2"/>
      <c r="DO52" s="2"/>
      <c r="DP52" s="2"/>
      <c r="DQ52" s="2"/>
      <c r="DR52" s="2"/>
      <c r="DS52" s="2"/>
      <c r="DT52" s="2"/>
      <c r="DU52" s="2"/>
      <c r="DV52" s="2"/>
      <c r="DW52" s="2"/>
      <c r="DX52" s="2"/>
      <c r="DY52" s="2"/>
      <c r="DZ52" s="2"/>
      <c r="EA52" s="2"/>
      <c r="EB52" s="2"/>
      <c r="EC52" s="2"/>
      <c r="ED52" s="2"/>
      <c r="EE52" s="2"/>
      <c r="EF52" s="1"/>
      <c r="EG52" s="98"/>
      <c r="EH52" s="98"/>
      <c r="EI52" s="1"/>
      <c r="EJ52" s="1"/>
      <c r="EK52" s="98"/>
      <c r="EL52" s="1"/>
    </row>
    <row r="53" spans="1:142">
      <c r="A53" s="32">
        <f t="shared" si="0"/>
        <v>2766</v>
      </c>
      <c r="B53" s="3" t="str">
        <f t="shared" si="1"/>
        <v>sv_statement//Statement//Export Statement&amp;PDFID=Ralph Roller_2766&amp;SO=Y</v>
      </c>
      <c r="C53" s="5" t="str">
        <f t="shared" si="42"/>
        <v>Statement</v>
      </c>
      <c r="D53" s="5" t="str">
        <f t="shared" si="2"/>
        <v>Ralph Roller_2766</v>
      </c>
      <c r="E53" s="5"/>
      <c r="F53" s="5">
        <v>2766</v>
      </c>
      <c r="G53" s="22" t="s">
        <v>275</v>
      </c>
      <c r="H53" s="5" t="s">
        <v>214</v>
      </c>
      <c r="I53" s="5" t="s">
        <v>276</v>
      </c>
      <c r="J53" s="5" t="s">
        <v>208</v>
      </c>
      <c r="K53" s="5" t="s">
        <v>209</v>
      </c>
      <c r="L53" s="31">
        <f t="shared" si="3"/>
        <v>20714</v>
      </c>
      <c r="M53" s="5" t="s">
        <v>198</v>
      </c>
      <c r="N53" s="22" t="s">
        <v>155</v>
      </c>
      <c r="O53" s="100">
        <v>37326</v>
      </c>
      <c r="P53" s="146">
        <f>VLOOKUP(I53,'Job Codes'!$B$2:$I$120,4,FALSE)</f>
        <v>37000</v>
      </c>
      <c r="Q53" s="146">
        <f>VLOOKUP(I53,'Job Codes'!$B$2:$I$120,5,FALSE)</f>
        <v>48100</v>
      </c>
      <c r="R53" s="146">
        <f>VLOOKUP(I53,'Job Codes'!$B$2:$I$120,6,FALSE)</f>
        <v>57720</v>
      </c>
      <c r="S53" s="22" t="s">
        <v>171</v>
      </c>
      <c r="T53" s="146">
        <v>34611</v>
      </c>
      <c r="U53" s="8">
        <f>VLOOKUP(S53,Data!$H$22:$I$25,2,FALSE)*T53</f>
        <v>34611</v>
      </c>
      <c r="V53" s="180">
        <f t="shared" si="4"/>
        <v>0.71956340956340958</v>
      </c>
      <c r="W53" s="180">
        <f t="shared" si="5"/>
        <v>0.38973158822339721</v>
      </c>
      <c r="X53" s="22" t="str">
        <f t="shared" si="6"/>
        <v>Yes</v>
      </c>
      <c r="Y53" s="180">
        <f t="shared" si="7"/>
        <v>0.02</v>
      </c>
      <c r="Z53" s="146">
        <f t="shared" si="8"/>
        <v>692.22</v>
      </c>
      <c r="AA53" s="146">
        <f t="shared" si="9"/>
        <v>692.22</v>
      </c>
      <c r="AB53" s="72"/>
      <c r="AC53" s="146">
        <f>AB53/VLOOKUP(S53,Data!$H$22:$I$25,2,FALSE)</f>
        <v>0</v>
      </c>
      <c r="AD53" s="22" t="s">
        <v>157</v>
      </c>
      <c r="AE53" s="146">
        <f>VLOOKUP(S53,Data!$H$22:$J$25,3,FALSE)*T53</f>
        <v>1038.33</v>
      </c>
      <c r="AF53" s="8">
        <f>VLOOKUP(S53,Data!$H$22:$I$25,2,FALSE)*AE53</f>
        <v>1038.33</v>
      </c>
      <c r="AG53" s="8" t="s">
        <v>178</v>
      </c>
      <c r="AH53" s="23">
        <v>0.02</v>
      </c>
      <c r="AI53" s="72"/>
      <c r="AJ53" s="159">
        <f t="shared" si="10"/>
        <v>0.02</v>
      </c>
      <c r="AK53" s="168">
        <f t="shared" si="43"/>
        <v>692.22</v>
      </c>
      <c r="AL53" s="160">
        <f t="shared" si="44"/>
        <v>692.22</v>
      </c>
      <c r="AM53" s="168">
        <f t="shared" si="11"/>
        <v>35303.22</v>
      </c>
      <c r="AN53" s="160">
        <f t="shared" si="12"/>
        <v>35303.22</v>
      </c>
      <c r="AO53" s="160" t="str">
        <f t="shared" si="45"/>
        <v>No</v>
      </c>
      <c r="AP53" s="146">
        <f>IF(AQ53=0,0,AQ53/VLOOKUP(S53,Data!$H$22:$I$25,2,FALSE))</f>
        <v>0</v>
      </c>
      <c r="AQ53" s="183">
        <f t="shared" si="13"/>
        <v>0</v>
      </c>
      <c r="AR53" s="165">
        <f t="shared" si="14"/>
        <v>692.22</v>
      </c>
      <c r="AS53" s="183">
        <f t="shared" si="15"/>
        <v>692.22</v>
      </c>
      <c r="AT53" s="250">
        <f t="shared" si="16"/>
        <v>0.02</v>
      </c>
      <c r="AU53" s="146">
        <f t="shared" si="17"/>
        <v>35303.22</v>
      </c>
      <c r="AV53" s="8">
        <f t="shared" si="18"/>
        <v>35303.22</v>
      </c>
      <c r="AW53" s="8" t="str">
        <f t="shared" si="19"/>
        <v/>
      </c>
      <c r="AX53" s="180">
        <f t="shared" si="20"/>
        <v>0.73395467775467782</v>
      </c>
      <c r="AY53" s="146">
        <f t="shared" si="21"/>
        <v>0</v>
      </c>
      <c r="AZ53" s="146">
        <f t="shared" si="22"/>
        <v>0</v>
      </c>
      <c r="BA53" s="22" t="s">
        <v>159</v>
      </c>
      <c r="BB53" s="149"/>
      <c r="BC53" s="149"/>
      <c r="BD53" s="144"/>
      <c r="BE53" s="146" t="str">
        <f t="shared" si="23"/>
        <v/>
      </c>
      <c r="BF53" s="8" t="str">
        <f t="shared" si="24"/>
        <v/>
      </c>
      <c r="BG53" s="8" t="str">
        <f>IF(LEN(BC53)&gt;0,VLOOKUP(BC53,'Job Codes'!B46:I164,7,FALSE),"")</f>
        <v/>
      </c>
      <c r="BH53" s="192" t="str">
        <f>IF(LEN(BC53)&gt;0,VLOOKUP(BC53,'Job Codes'!B46:I164,8,FALSE),"")</f>
        <v/>
      </c>
      <c r="BI53" s="192" t="str">
        <f>IF(LEN(BC53)&gt;0,VLOOKUP(BC53,'Job Codes'!$B$2:$J$120,9,FALSE),"")</f>
        <v/>
      </c>
      <c r="BJ53" s="146" t="str">
        <f>IF(LEN(BC53)&gt;0,VLOOKUP(BC53,'Job Codes'!$B$2:$I$120,4,FALSE),"")</f>
        <v/>
      </c>
      <c r="BK53" s="146" t="str">
        <f>IF(LEN(BC53)&gt;0,VLOOKUP(BC53,'Job Codes'!$B$2:$I$120,5,FALSE),"")</f>
        <v/>
      </c>
      <c r="BL53" s="146" t="str">
        <f>IF(LEN(BC53)&gt;0,VLOOKUP(BC53,'Job Codes'!$B$2:$I$120,6,FALSE),"")</f>
        <v/>
      </c>
      <c r="BM53" s="168">
        <f t="shared" si="25"/>
        <v>35303.22</v>
      </c>
      <c r="BN53" s="160">
        <f t="shared" si="26"/>
        <v>35303.22</v>
      </c>
      <c r="BO53" s="22" t="s">
        <v>157</v>
      </c>
      <c r="BP53" s="157">
        <f>VLOOKUP(I53,'Job Codes'!$B$2:$I$120,8,FALSE)</f>
        <v>0.15</v>
      </c>
      <c r="BQ53" s="25" t="str">
        <f>IF(O53&gt;Data!$H$33,"Yes","No")</f>
        <v>No</v>
      </c>
      <c r="BR53" s="191">
        <v>0.15</v>
      </c>
      <c r="BS53" s="150">
        <f t="shared" si="27"/>
        <v>5191.6499999999996</v>
      </c>
      <c r="BT53" s="25">
        <f t="shared" si="28"/>
        <v>5191.6499999999996</v>
      </c>
      <c r="BU53" s="161">
        <v>1</v>
      </c>
      <c r="BV53" s="168">
        <f t="shared" si="29"/>
        <v>5191.6499999999996</v>
      </c>
      <c r="BW53" s="160">
        <f t="shared" si="30"/>
        <v>5191.6499999999996</v>
      </c>
      <c r="BX53" s="149"/>
      <c r="BY53" s="32">
        <f t="shared" si="31"/>
        <v>0</v>
      </c>
      <c r="BZ53" s="22" t="s">
        <v>157</v>
      </c>
      <c r="CA53" s="231">
        <f>VLOOKUP(I53,'Job Codes'!$B$2:$J$120,9,FALSE)</f>
        <v>0.15</v>
      </c>
      <c r="CB53" s="253">
        <f t="shared" si="32"/>
        <v>5191.6499999999996</v>
      </c>
      <c r="CC53" s="72"/>
      <c r="CD53" s="25" t="str">
        <f t="shared" si="33"/>
        <v>Meets</v>
      </c>
      <c r="CE53" s="27"/>
      <c r="CF53" s="27"/>
      <c r="CG53" s="27"/>
      <c r="CH53" s="27"/>
      <c r="CI53" s="27"/>
      <c r="CJ53" s="3"/>
      <c r="CK53" s="3"/>
      <c r="CL53" s="3">
        <v>4569</v>
      </c>
      <c r="CM53" s="3" t="s">
        <v>161</v>
      </c>
      <c r="CN53" s="3">
        <v>4571</v>
      </c>
      <c r="CO53" s="3" t="s">
        <v>162</v>
      </c>
      <c r="CP53" s="3">
        <v>12345</v>
      </c>
      <c r="CQ53" s="3" t="s">
        <v>163</v>
      </c>
      <c r="CR53" s="246" t="s">
        <v>164</v>
      </c>
      <c r="CS53" s="247" t="s">
        <v>165</v>
      </c>
      <c r="CT53" s="246" t="s">
        <v>166</v>
      </c>
      <c r="CU53" s="247" t="s">
        <v>167</v>
      </c>
      <c r="CV53" s="3" t="str">
        <f t="shared" si="34"/>
        <v>67890;99485</v>
      </c>
      <c r="CW53" s="3" t="s">
        <v>168</v>
      </c>
      <c r="CX53" s="3" t="str">
        <f t="shared" si="35"/>
        <v>;;BB53:BD53;;</v>
      </c>
      <c r="CY53" s="5" t="str">
        <f t="shared" si="36"/>
        <v>Unlock</v>
      </c>
      <c r="CZ53" s="5" t="str">
        <f t="shared" si="37"/>
        <v>Lock</v>
      </c>
      <c r="DA53" s="5" t="str">
        <f t="shared" si="38"/>
        <v>Lock</v>
      </c>
      <c r="DB53" s="5" t="str">
        <f t="shared" si="39"/>
        <v>Lock</v>
      </c>
      <c r="DC53" s="5" t="str">
        <f t="shared" si="40"/>
        <v>Lock</v>
      </c>
      <c r="DD53" s="78">
        <f t="shared" si="41"/>
        <v>3</v>
      </c>
      <c r="DE53" s="2"/>
      <c r="DF53" s="2"/>
      <c r="DG53" s="2"/>
      <c r="DH53" s="2"/>
      <c r="DI53" s="2"/>
      <c r="DJ53" s="2"/>
      <c r="DK53" s="5"/>
      <c r="DL53" s="2"/>
      <c r="DM53" s="2"/>
      <c r="DN53" s="2"/>
      <c r="DO53" s="2"/>
      <c r="DP53" s="2"/>
      <c r="DQ53" s="2"/>
      <c r="DR53" s="2"/>
      <c r="DS53" s="2"/>
      <c r="DT53" s="2"/>
      <c r="DU53" s="2"/>
      <c r="DV53" s="2"/>
      <c r="DW53" s="2"/>
      <c r="DX53" s="2"/>
      <c r="DY53" s="2"/>
      <c r="DZ53" s="2"/>
      <c r="EA53" s="2"/>
      <c r="EB53" s="2"/>
      <c r="EC53" s="2"/>
      <c r="ED53" s="2"/>
      <c r="EE53" s="2"/>
      <c r="EF53" s="1"/>
      <c r="EG53" s="98"/>
      <c r="EH53" s="98"/>
      <c r="EI53" s="1"/>
      <c r="EJ53" s="1"/>
      <c r="EK53" s="98"/>
      <c r="EL53" s="1"/>
    </row>
    <row r="54" spans="1:142">
      <c r="A54" s="32">
        <f t="shared" si="0"/>
        <v>2807</v>
      </c>
      <c r="B54" s="3" t="str">
        <f t="shared" si="1"/>
        <v>sv_statement//Statement//Export Statement&amp;PDFID=Luis Lai_2807&amp;SO=Y</v>
      </c>
      <c r="C54" s="5" t="str">
        <f t="shared" si="42"/>
        <v>Statement</v>
      </c>
      <c r="D54" s="5" t="str">
        <f t="shared" si="2"/>
        <v>Luis Lai_2807</v>
      </c>
      <c r="E54" s="5"/>
      <c r="F54" s="5">
        <v>2807</v>
      </c>
      <c r="G54" s="22" t="s">
        <v>277</v>
      </c>
      <c r="H54" s="5" t="s">
        <v>214</v>
      </c>
      <c r="I54" s="5" t="s">
        <v>266</v>
      </c>
      <c r="J54" s="5" t="s">
        <v>208</v>
      </c>
      <c r="K54" s="5" t="s">
        <v>209</v>
      </c>
      <c r="L54" s="31">
        <f t="shared" si="3"/>
        <v>20714</v>
      </c>
      <c r="M54" s="5" t="s">
        <v>198</v>
      </c>
      <c r="N54" s="22" t="s">
        <v>155</v>
      </c>
      <c r="O54" s="100">
        <v>37334</v>
      </c>
      <c r="P54" s="146">
        <f>VLOOKUP(I54,'Job Codes'!$B$2:$I$120,4,FALSE)</f>
        <v>29000</v>
      </c>
      <c r="Q54" s="146">
        <f>VLOOKUP(I54,'Job Codes'!$B$2:$I$120,5,FALSE)</f>
        <v>37700</v>
      </c>
      <c r="R54" s="146">
        <f>VLOOKUP(I54,'Job Codes'!$B$2:$I$120,6,FALSE)</f>
        <v>45240</v>
      </c>
      <c r="S54" s="22" t="s">
        <v>171</v>
      </c>
      <c r="T54" s="146">
        <v>28662</v>
      </c>
      <c r="U54" s="8">
        <f>VLOOKUP(S54,Data!$H$22:$I$25,2,FALSE)*T54</f>
        <v>28662</v>
      </c>
      <c r="V54" s="180">
        <f t="shared" si="4"/>
        <v>0.76026525198938988</v>
      </c>
      <c r="W54" s="180">
        <f t="shared" si="5"/>
        <v>0.31533040262368295</v>
      </c>
      <c r="X54" s="22" t="str">
        <f t="shared" si="6"/>
        <v>Yes</v>
      </c>
      <c r="Y54" s="180">
        <f t="shared" si="7"/>
        <v>0.02</v>
      </c>
      <c r="Z54" s="146">
        <f t="shared" si="8"/>
        <v>573.24</v>
      </c>
      <c r="AA54" s="146">
        <f t="shared" si="9"/>
        <v>573.24</v>
      </c>
      <c r="AB54" s="72"/>
      <c r="AC54" s="146">
        <f>AB54/VLOOKUP(S54,Data!$H$22:$I$25,2,FALSE)</f>
        <v>0</v>
      </c>
      <c r="AD54" s="22" t="s">
        <v>157</v>
      </c>
      <c r="AE54" s="146">
        <f>VLOOKUP(S54,Data!$H$22:$J$25,3,FALSE)*T54</f>
        <v>859.86</v>
      </c>
      <c r="AF54" s="8">
        <f>VLOOKUP(S54,Data!$H$22:$I$25,2,FALSE)*AE54</f>
        <v>859.86</v>
      </c>
      <c r="AG54" s="8" t="s">
        <v>178</v>
      </c>
      <c r="AH54" s="23">
        <v>2.5000000000000001E-2</v>
      </c>
      <c r="AI54" s="72"/>
      <c r="AJ54" s="159">
        <f t="shared" si="10"/>
        <v>2.5000000000000001E-2</v>
      </c>
      <c r="AK54" s="168">
        <f t="shared" si="43"/>
        <v>716.55000000000007</v>
      </c>
      <c r="AL54" s="160">
        <f t="shared" si="44"/>
        <v>716.55000000000007</v>
      </c>
      <c r="AM54" s="168">
        <f t="shared" si="11"/>
        <v>29378.55</v>
      </c>
      <c r="AN54" s="160">
        <f t="shared" si="12"/>
        <v>29378.55</v>
      </c>
      <c r="AO54" s="160" t="str">
        <f t="shared" si="45"/>
        <v>No</v>
      </c>
      <c r="AP54" s="146">
        <f>IF(AQ54=0,0,AQ54/VLOOKUP(S54,Data!$H$22:$I$25,2,FALSE))</f>
        <v>0</v>
      </c>
      <c r="AQ54" s="183">
        <f t="shared" si="13"/>
        <v>0</v>
      </c>
      <c r="AR54" s="165">
        <f t="shared" si="14"/>
        <v>716.55000000000007</v>
      </c>
      <c r="AS54" s="183">
        <f t="shared" si="15"/>
        <v>716.55000000000007</v>
      </c>
      <c r="AT54" s="250">
        <f t="shared" si="16"/>
        <v>2.5000000000000001E-2</v>
      </c>
      <c r="AU54" s="146">
        <f t="shared" si="17"/>
        <v>29378.55</v>
      </c>
      <c r="AV54" s="8">
        <f t="shared" si="18"/>
        <v>29378.55</v>
      </c>
      <c r="AW54" s="8" t="str">
        <f t="shared" si="19"/>
        <v/>
      </c>
      <c r="AX54" s="180">
        <f t="shared" si="20"/>
        <v>0.77927188328912467</v>
      </c>
      <c r="AY54" s="146">
        <f t="shared" si="21"/>
        <v>0</v>
      </c>
      <c r="AZ54" s="146">
        <f t="shared" si="22"/>
        <v>0</v>
      </c>
      <c r="BA54" s="22" t="s">
        <v>159</v>
      </c>
      <c r="BB54" s="149"/>
      <c r="BC54" s="149"/>
      <c r="BD54" s="144"/>
      <c r="BE54" s="146" t="str">
        <f t="shared" si="23"/>
        <v/>
      </c>
      <c r="BF54" s="8" t="str">
        <f t="shared" si="24"/>
        <v/>
      </c>
      <c r="BG54" s="8" t="str">
        <f>IF(LEN(BC54)&gt;0,VLOOKUP(BC54,'Job Codes'!B47:I165,7,FALSE),"")</f>
        <v/>
      </c>
      <c r="BH54" s="192" t="str">
        <f>IF(LEN(BC54)&gt;0,VLOOKUP(BC54,'Job Codes'!B47:I165,8,FALSE),"")</f>
        <v/>
      </c>
      <c r="BI54" s="192" t="str">
        <f>IF(LEN(BC54)&gt;0,VLOOKUP(BC54,'Job Codes'!$B$2:$J$120,9,FALSE),"")</f>
        <v/>
      </c>
      <c r="BJ54" s="146" t="str">
        <f>IF(LEN(BC54)&gt;0,VLOOKUP(BC54,'Job Codes'!$B$2:$I$120,4,FALSE),"")</f>
        <v/>
      </c>
      <c r="BK54" s="146" t="str">
        <f>IF(LEN(BC54)&gt;0,VLOOKUP(BC54,'Job Codes'!$B$2:$I$120,5,FALSE),"")</f>
        <v/>
      </c>
      <c r="BL54" s="146" t="str">
        <f>IF(LEN(BC54)&gt;0,VLOOKUP(BC54,'Job Codes'!$B$2:$I$120,6,FALSE),"")</f>
        <v/>
      </c>
      <c r="BM54" s="168">
        <f t="shared" si="25"/>
        <v>29378.55</v>
      </c>
      <c r="BN54" s="160">
        <f t="shared" si="26"/>
        <v>29378.55</v>
      </c>
      <c r="BO54" s="22" t="s">
        <v>157</v>
      </c>
      <c r="BP54" s="157">
        <f>VLOOKUP(I54,'Job Codes'!$B$2:$I$120,8,FALSE)</f>
        <v>0.1</v>
      </c>
      <c r="BQ54" s="25" t="str">
        <f>IF(O54&gt;Data!$H$33,"Yes","No")</f>
        <v>No</v>
      </c>
      <c r="BR54" s="191">
        <v>0.1</v>
      </c>
      <c r="BS54" s="150">
        <f t="shared" si="27"/>
        <v>2866.2000000000003</v>
      </c>
      <c r="BT54" s="25">
        <f t="shared" si="28"/>
        <v>2866.2000000000003</v>
      </c>
      <c r="BU54" s="161">
        <v>1</v>
      </c>
      <c r="BV54" s="168">
        <f t="shared" si="29"/>
        <v>2866.2000000000003</v>
      </c>
      <c r="BW54" s="160">
        <f t="shared" si="30"/>
        <v>2866.2000000000003</v>
      </c>
      <c r="BX54" s="149"/>
      <c r="BY54" s="32">
        <f t="shared" si="31"/>
        <v>0</v>
      </c>
      <c r="BZ54" s="22" t="s">
        <v>157</v>
      </c>
      <c r="CA54" s="231">
        <f>VLOOKUP(I54,'Job Codes'!$B$2:$J$120,9,FALSE)</f>
        <v>0.05</v>
      </c>
      <c r="CB54" s="253">
        <f t="shared" si="32"/>
        <v>1433.1000000000001</v>
      </c>
      <c r="CC54" s="72"/>
      <c r="CD54" s="25" t="str">
        <f t="shared" si="33"/>
        <v>Meets</v>
      </c>
      <c r="CE54" s="27"/>
      <c r="CF54" s="27"/>
      <c r="CG54" s="27"/>
      <c r="CH54" s="27"/>
      <c r="CI54" s="27"/>
      <c r="CJ54" s="3"/>
      <c r="CK54" s="3"/>
      <c r="CL54" s="3">
        <v>4569</v>
      </c>
      <c r="CM54" s="3" t="s">
        <v>161</v>
      </c>
      <c r="CN54" s="3">
        <v>4571</v>
      </c>
      <c r="CO54" s="3" t="s">
        <v>162</v>
      </c>
      <c r="CP54" s="3">
        <v>12345</v>
      </c>
      <c r="CQ54" s="3" t="s">
        <v>163</v>
      </c>
      <c r="CR54" s="246" t="s">
        <v>164</v>
      </c>
      <c r="CS54" s="247" t="s">
        <v>165</v>
      </c>
      <c r="CT54" s="246" t="s">
        <v>166</v>
      </c>
      <c r="CU54" s="247" t="s">
        <v>167</v>
      </c>
      <c r="CV54" s="3" t="str">
        <f t="shared" si="34"/>
        <v>67890;99485</v>
      </c>
      <c r="CW54" s="3" t="s">
        <v>168</v>
      </c>
      <c r="CX54" s="3" t="str">
        <f t="shared" si="35"/>
        <v>;;BB54:BD54;;</v>
      </c>
      <c r="CY54" s="5" t="str">
        <f t="shared" si="36"/>
        <v>Unlock</v>
      </c>
      <c r="CZ54" s="5" t="str">
        <f t="shared" si="37"/>
        <v>Lock</v>
      </c>
      <c r="DA54" s="5" t="str">
        <f t="shared" si="38"/>
        <v>Lock</v>
      </c>
      <c r="DB54" s="5" t="str">
        <f t="shared" si="39"/>
        <v>Lock</v>
      </c>
      <c r="DC54" s="5" t="str">
        <f t="shared" si="40"/>
        <v>Lock</v>
      </c>
      <c r="DD54" s="78">
        <f t="shared" si="41"/>
        <v>3</v>
      </c>
      <c r="DE54" s="2"/>
      <c r="DF54" s="2"/>
      <c r="DG54" s="2"/>
      <c r="DH54" s="2"/>
      <c r="DI54" s="2"/>
      <c r="DJ54" s="2"/>
      <c r="DK54" s="5"/>
      <c r="DL54" s="2"/>
      <c r="DM54" s="2"/>
      <c r="DN54" s="2"/>
      <c r="DO54" s="2"/>
      <c r="DP54" s="2"/>
      <c r="DQ54" s="2"/>
      <c r="DR54" s="2"/>
      <c r="DS54" s="2"/>
      <c r="DT54" s="2"/>
      <c r="DU54" s="2"/>
      <c r="DV54" s="2"/>
      <c r="DW54" s="2"/>
      <c r="DX54" s="2"/>
      <c r="DY54" s="2"/>
      <c r="DZ54" s="2"/>
      <c r="EA54" s="2"/>
      <c r="EB54" s="2"/>
      <c r="EC54" s="2"/>
      <c r="ED54" s="2"/>
      <c r="EE54" s="2"/>
      <c r="EF54" s="1"/>
      <c r="EG54" s="98"/>
      <c r="EH54" s="98"/>
      <c r="EI54" s="1"/>
      <c r="EJ54" s="1"/>
      <c r="EK54" s="98"/>
      <c r="EL54" s="1"/>
    </row>
    <row r="55" spans="1:142">
      <c r="A55" s="32">
        <f t="shared" si="0"/>
        <v>2858</v>
      </c>
      <c r="B55" s="3" t="str">
        <f t="shared" si="1"/>
        <v>sv_statement//Statement//Export Statement&amp;PDFID=Gary Whitehurst_2858&amp;SO=Y</v>
      </c>
      <c r="C55" s="5" t="str">
        <f t="shared" si="42"/>
        <v>Statement</v>
      </c>
      <c r="D55" s="5" t="str">
        <f t="shared" si="2"/>
        <v>Gary Whitehurst_2858</v>
      </c>
      <c r="E55" s="5"/>
      <c r="F55" s="5">
        <v>2858</v>
      </c>
      <c r="G55" s="22" t="s">
        <v>278</v>
      </c>
      <c r="H55" s="5" t="s">
        <v>173</v>
      </c>
      <c r="I55" s="5" t="s">
        <v>279</v>
      </c>
      <c r="J55" s="5" t="s">
        <v>152</v>
      </c>
      <c r="K55" s="5" t="s">
        <v>153</v>
      </c>
      <c r="L55" s="31">
        <f t="shared" si="3"/>
        <v>11351</v>
      </c>
      <c r="M55" s="5" t="s">
        <v>177</v>
      </c>
      <c r="N55" s="22" t="s">
        <v>155</v>
      </c>
      <c r="O55" s="100">
        <v>32952</v>
      </c>
      <c r="P55" s="146">
        <f>VLOOKUP(I55,'Job Codes'!$B$2:$I$120,4,FALSE)</f>
        <v>23000</v>
      </c>
      <c r="Q55" s="146">
        <f>VLOOKUP(I55,'Job Codes'!$B$2:$I$120,5,FALSE)</f>
        <v>29900</v>
      </c>
      <c r="R55" s="146">
        <f>VLOOKUP(I55,'Job Codes'!$B$2:$I$120,6,FALSE)</f>
        <v>35880</v>
      </c>
      <c r="S55" s="22" t="s">
        <v>171</v>
      </c>
      <c r="T55" s="146">
        <v>24000</v>
      </c>
      <c r="U55" s="8">
        <f>VLOOKUP(S55,Data!$H$22:$I$25,2,FALSE)*T55</f>
        <v>24000</v>
      </c>
      <c r="V55" s="180">
        <f t="shared" si="4"/>
        <v>0.80267558528428096</v>
      </c>
      <c r="W55" s="180">
        <f t="shared" si="5"/>
        <v>0.24583333333333332</v>
      </c>
      <c r="X55" s="22" t="str">
        <f t="shared" si="6"/>
        <v>Yes</v>
      </c>
      <c r="Y55" s="180">
        <f t="shared" si="7"/>
        <v>0.02</v>
      </c>
      <c r="Z55" s="146">
        <f t="shared" si="8"/>
        <v>480</v>
      </c>
      <c r="AA55" s="146">
        <f t="shared" si="9"/>
        <v>480</v>
      </c>
      <c r="AB55" s="72"/>
      <c r="AC55" s="146">
        <f>AB55/VLOOKUP(S55,Data!$H$22:$I$25,2,FALSE)</f>
        <v>0</v>
      </c>
      <c r="AD55" s="22" t="s">
        <v>157</v>
      </c>
      <c r="AE55" s="146">
        <f>VLOOKUP(S55,Data!$H$22:$J$25,3,FALSE)*T55</f>
        <v>720</v>
      </c>
      <c r="AF55" s="8">
        <f>VLOOKUP(S55,Data!$H$22:$I$25,2,FALSE)*AE55</f>
        <v>720</v>
      </c>
      <c r="AG55" s="8" t="s">
        <v>158</v>
      </c>
      <c r="AH55" s="23">
        <v>0.03</v>
      </c>
      <c r="AI55" s="72"/>
      <c r="AJ55" s="159">
        <f t="shared" si="10"/>
        <v>0.03</v>
      </c>
      <c r="AK55" s="168">
        <f t="shared" si="43"/>
        <v>720</v>
      </c>
      <c r="AL55" s="160">
        <f t="shared" si="44"/>
        <v>720</v>
      </c>
      <c r="AM55" s="168">
        <f t="shared" si="11"/>
        <v>24720</v>
      </c>
      <c r="AN55" s="160">
        <f t="shared" si="12"/>
        <v>24720</v>
      </c>
      <c r="AO55" s="160" t="str">
        <f t="shared" si="45"/>
        <v>No</v>
      </c>
      <c r="AP55" s="146">
        <f>IF(AQ55=0,0,AQ55/VLOOKUP(S55,Data!$H$22:$I$25,2,FALSE))</f>
        <v>0</v>
      </c>
      <c r="AQ55" s="183">
        <f t="shared" si="13"/>
        <v>0</v>
      </c>
      <c r="AR55" s="165">
        <f t="shared" si="14"/>
        <v>720</v>
      </c>
      <c r="AS55" s="183">
        <f t="shared" si="15"/>
        <v>720</v>
      </c>
      <c r="AT55" s="250">
        <f t="shared" si="16"/>
        <v>0.03</v>
      </c>
      <c r="AU55" s="146">
        <f t="shared" si="17"/>
        <v>24720</v>
      </c>
      <c r="AV55" s="8">
        <f t="shared" si="18"/>
        <v>24720</v>
      </c>
      <c r="AW55" s="8" t="str">
        <f t="shared" si="19"/>
        <v/>
      </c>
      <c r="AX55" s="180">
        <f t="shared" si="20"/>
        <v>0.82675585284280939</v>
      </c>
      <c r="AY55" s="146">
        <f t="shared" si="21"/>
        <v>0</v>
      </c>
      <c r="AZ55" s="146">
        <f t="shared" si="22"/>
        <v>0</v>
      </c>
      <c r="BA55" s="22" t="s">
        <v>159</v>
      </c>
      <c r="BB55" s="149"/>
      <c r="BC55" s="149"/>
      <c r="BD55" s="144"/>
      <c r="BE55" s="146" t="str">
        <f t="shared" si="23"/>
        <v/>
      </c>
      <c r="BF55" s="8" t="str">
        <f t="shared" si="24"/>
        <v/>
      </c>
      <c r="BG55" s="8" t="str">
        <f>IF(LEN(BC55)&gt;0,VLOOKUP(BC55,'Job Codes'!B48:I166,7,FALSE),"")</f>
        <v/>
      </c>
      <c r="BH55" s="192" t="str">
        <f>IF(LEN(BC55)&gt;0,VLOOKUP(BC55,'Job Codes'!B48:I166,8,FALSE),"")</f>
        <v/>
      </c>
      <c r="BI55" s="192" t="str">
        <f>IF(LEN(BC55)&gt;0,VLOOKUP(BC55,'Job Codes'!$B$2:$J$120,9,FALSE),"")</f>
        <v/>
      </c>
      <c r="BJ55" s="146" t="str">
        <f>IF(LEN(BC55)&gt;0,VLOOKUP(BC55,'Job Codes'!$B$2:$I$120,4,FALSE),"")</f>
        <v/>
      </c>
      <c r="BK55" s="146" t="str">
        <f>IF(LEN(BC55)&gt;0,VLOOKUP(BC55,'Job Codes'!$B$2:$I$120,5,FALSE),"")</f>
        <v/>
      </c>
      <c r="BL55" s="146" t="str">
        <f>IF(LEN(BC55)&gt;0,VLOOKUP(BC55,'Job Codes'!$B$2:$I$120,6,FALSE),"")</f>
        <v/>
      </c>
      <c r="BM55" s="168">
        <f t="shared" si="25"/>
        <v>24720</v>
      </c>
      <c r="BN55" s="160">
        <f t="shared" si="26"/>
        <v>24720</v>
      </c>
      <c r="BO55" s="22" t="s">
        <v>159</v>
      </c>
      <c r="BP55" s="157">
        <f>VLOOKUP(I55,'Job Codes'!$B$2:$I$120,8,FALSE)</f>
        <v>0</v>
      </c>
      <c r="BQ55" s="25" t="str">
        <f>IF(O55&gt;Data!$H$33,"Yes","No")</f>
        <v>No</v>
      </c>
      <c r="BR55" s="191">
        <v>0</v>
      </c>
      <c r="BS55" s="150">
        <f t="shared" si="27"/>
        <v>0</v>
      </c>
      <c r="BT55" s="25">
        <f t="shared" si="28"/>
        <v>0</v>
      </c>
      <c r="BU55" s="161">
        <v>1</v>
      </c>
      <c r="BV55" s="168">
        <f t="shared" si="29"/>
        <v>0</v>
      </c>
      <c r="BW55" s="160">
        <f t="shared" si="30"/>
        <v>0</v>
      </c>
      <c r="BX55" s="149"/>
      <c r="BY55" s="32">
        <f t="shared" si="31"/>
        <v>0</v>
      </c>
      <c r="BZ55" s="22" t="s">
        <v>159</v>
      </c>
      <c r="CA55" s="231">
        <f>VLOOKUP(I55,'Job Codes'!$B$2:$J$120,9,FALSE)</f>
        <v>0</v>
      </c>
      <c r="CB55" s="253">
        <f t="shared" si="32"/>
        <v>0</v>
      </c>
      <c r="CC55" s="72"/>
      <c r="CD55" s="25" t="str">
        <f t="shared" si="33"/>
        <v>Exceeds</v>
      </c>
      <c r="CE55" s="27"/>
      <c r="CF55" s="27"/>
      <c r="CG55" s="27"/>
      <c r="CH55" s="27"/>
      <c r="CI55" s="27"/>
      <c r="CJ55" s="3">
        <v>11308</v>
      </c>
      <c r="CK55" s="3" t="s">
        <v>154</v>
      </c>
      <c r="CL55" s="3">
        <v>4569</v>
      </c>
      <c r="CM55" s="3" t="s">
        <v>161</v>
      </c>
      <c r="CN55" s="3">
        <v>4571</v>
      </c>
      <c r="CO55" s="3" t="s">
        <v>162</v>
      </c>
      <c r="CP55" s="3">
        <v>12345</v>
      </c>
      <c r="CQ55" s="3" t="s">
        <v>163</v>
      </c>
      <c r="CR55" s="246" t="s">
        <v>179</v>
      </c>
      <c r="CS55" s="247" t="s">
        <v>180</v>
      </c>
      <c r="CT55" s="246" t="s">
        <v>166</v>
      </c>
      <c r="CU55" s="247" t="s">
        <v>167</v>
      </c>
      <c r="CV55" s="3" t="str">
        <f t="shared" si="34"/>
        <v>90876;99485</v>
      </c>
      <c r="CW55" s="3" t="s">
        <v>168</v>
      </c>
      <c r="CX55" s="3" t="str">
        <f t="shared" si="35"/>
        <v>;;BB55:BD55;BU55;BX55</v>
      </c>
      <c r="CY55" s="5" t="str">
        <f t="shared" si="36"/>
        <v>Unlock</v>
      </c>
      <c r="CZ55" s="5" t="str">
        <f t="shared" si="37"/>
        <v>Lock</v>
      </c>
      <c r="DA55" s="5" t="str">
        <f t="shared" si="38"/>
        <v>Lock</v>
      </c>
      <c r="DB55" s="5" t="str">
        <f t="shared" si="39"/>
        <v>Lock</v>
      </c>
      <c r="DC55" s="5" t="str">
        <f t="shared" si="40"/>
        <v>Lock</v>
      </c>
      <c r="DD55" s="78">
        <f t="shared" si="41"/>
        <v>2</v>
      </c>
      <c r="DE55" s="2"/>
      <c r="DF55" s="2"/>
      <c r="DG55" s="2"/>
      <c r="DH55" s="2"/>
      <c r="DI55" s="2"/>
      <c r="DJ55" s="2"/>
      <c r="DK55" s="5"/>
      <c r="DL55" s="2"/>
      <c r="DM55" s="2"/>
      <c r="DN55" s="2"/>
      <c r="DO55" s="2"/>
      <c r="DP55" s="2"/>
      <c r="DQ55" s="2"/>
      <c r="DR55" s="2"/>
      <c r="DS55" s="2"/>
      <c r="DT55" s="2"/>
      <c r="DU55" s="2"/>
      <c r="DV55" s="2"/>
      <c r="DW55" s="2"/>
      <c r="DX55" s="2"/>
      <c r="DY55" s="2"/>
      <c r="DZ55" s="2"/>
      <c r="EA55" s="2"/>
      <c r="EB55" s="2"/>
      <c r="EC55" s="2"/>
      <c r="ED55" s="2"/>
      <c r="EE55" s="2"/>
      <c r="EF55" s="1"/>
      <c r="EG55" s="98"/>
      <c r="EH55" s="98"/>
      <c r="EI55" s="1"/>
      <c r="EJ55" s="1"/>
      <c r="EK55" s="98"/>
      <c r="EL55" s="1"/>
    </row>
    <row r="56" spans="1:142">
      <c r="A56" s="32">
        <f t="shared" si="0"/>
        <v>2868</v>
      </c>
      <c r="B56" s="3" t="str">
        <f t="shared" si="1"/>
        <v>sv_statement//Statement//Export Statement&amp;PDFID=Joshua Parton_2868&amp;SO=Y</v>
      </c>
      <c r="C56" s="5" t="str">
        <f t="shared" si="42"/>
        <v>Statement</v>
      </c>
      <c r="D56" s="5" t="str">
        <f t="shared" si="2"/>
        <v>Joshua Parton_2868</v>
      </c>
      <c r="E56" s="5"/>
      <c r="F56" s="5">
        <v>2868</v>
      </c>
      <c r="G56" s="22" t="s">
        <v>280</v>
      </c>
      <c r="H56" s="5" t="s">
        <v>150</v>
      </c>
      <c r="I56" s="5" t="s">
        <v>281</v>
      </c>
      <c r="J56" s="5" t="s">
        <v>152</v>
      </c>
      <c r="K56" s="5" t="s">
        <v>153</v>
      </c>
      <c r="L56" s="31">
        <f t="shared" si="3"/>
        <v>11351</v>
      </c>
      <c r="M56" s="5" t="s">
        <v>177</v>
      </c>
      <c r="N56" s="22" t="s">
        <v>155</v>
      </c>
      <c r="O56" s="100">
        <v>31418</v>
      </c>
      <c r="P56" s="146">
        <f>VLOOKUP(I56,'Job Codes'!$B$2:$I$120,4,FALSE)</f>
        <v>20000</v>
      </c>
      <c r="Q56" s="146">
        <f>VLOOKUP(I56,'Job Codes'!$B$2:$I$120,5,FALSE)</f>
        <v>26000</v>
      </c>
      <c r="R56" s="146">
        <f>VLOOKUP(I56,'Job Codes'!$B$2:$I$120,6,FALSE)</f>
        <v>31200</v>
      </c>
      <c r="S56" s="22" t="s">
        <v>171</v>
      </c>
      <c r="T56" s="146">
        <v>27500</v>
      </c>
      <c r="U56" s="8">
        <f>VLOOKUP(S56,Data!$H$22:$I$25,2,FALSE)*T56</f>
        <v>27500</v>
      </c>
      <c r="V56" s="180">
        <f t="shared" si="4"/>
        <v>1.0576923076923077</v>
      </c>
      <c r="W56" s="180">
        <f t="shared" si="5"/>
        <v>0</v>
      </c>
      <c r="X56" s="22" t="str">
        <f t="shared" si="6"/>
        <v>No</v>
      </c>
      <c r="Y56" s="180">
        <f t="shared" si="7"/>
        <v>0</v>
      </c>
      <c r="Z56" s="146">
        <f t="shared" si="8"/>
        <v>0</v>
      </c>
      <c r="AA56" s="146">
        <f t="shared" si="9"/>
        <v>0</v>
      </c>
      <c r="AB56" s="72"/>
      <c r="AC56" s="146">
        <f>AB56/VLOOKUP(S56,Data!$H$22:$I$25,2,FALSE)</f>
        <v>0</v>
      </c>
      <c r="AD56" s="22" t="s">
        <v>157</v>
      </c>
      <c r="AE56" s="146">
        <f>VLOOKUP(S56,Data!$H$22:$J$25,3,FALSE)*T56</f>
        <v>825</v>
      </c>
      <c r="AF56" s="8">
        <f>VLOOKUP(S56,Data!$H$22:$I$25,2,FALSE)*AE56</f>
        <v>825</v>
      </c>
      <c r="AG56" s="8" t="s">
        <v>178</v>
      </c>
      <c r="AH56" s="23">
        <v>0.01</v>
      </c>
      <c r="AI56" s="72"/>
      <c r="AJ56" s="159">
        <f t="shared" si="10"/>
        <v>0.01</v>
      </c>
      <c r="AK56" s="168">
        <f t="shared" si="43"/>
        <v>275</v>
      </c>
      <c r="AL56" s="160">
        <f t="shared" si="44"/>
        <v>275</v>
      </c>
      <c r="AM56" s="168">
        <f t="shared" si="11"/>
        <v>27775</v>
      </c>
      <c r="AN56" s="160">
        <f t="shared" si="12"/>
        <v>27775</v>
      </c>
      <c r="AO56" s="160" t="str">
        <f t="shared" si="45"/>
        <v>No</v>
      </c>
      <c r="AP56" s="146">
        <f>IF(AQ56=0,0,AQ56/VLOOKUP(S56,Data!$H$22:$I$25,2,FALSE))</f>
        <v>0</v>
      </c>
      <c r="AQ56" s="183">
        <f t="shared" si="13"/>
        <v>0</v>
      </c>
      <c r="AR56" s="165">
        <f t="shared" si="14"/>
        <v>275</v>
      </c>
      <c r="AS56" s="183">
        <f t="shared" si="15"/>
        <v>275</v>
      </c>
      <c r="AT56" s="250">
        <f t="shared" si="16"/>
        <v>0.01</v>
      </c>
      <c r="AU56" s="146">
        <f t="shared" si="17"/>
        <v>27775</v>
      </c>
      <c r="AV56" s="8">
        <f t="shared" si="18"/>
        <v>27775</v>
      </c>
      <c r="AW56" s="8" t="str">
        <f t="shared" si="19"/>
        <v/>
      </c>
      <c r="AX56" s="180">
        <f t="shared" si="20"/>
        <v>1.0682692307692307</v>
      </c>
      <c r="AY56" s="146">
        <f t="shared" si="21"/>
        <v>0</v>
      </c>
      <c r="AZ56" s="146">
        <f t="shared" si="22"/>
        <v>0</v>
      </c>
      <c r="BA56" s="22" t="s">
        <v>159</v>
      </c>
      <c r="BB56" s="149"/>
      <c r="BC56" s="149"/>
      <c r="BD56" s="144"/>
      <c r="BE56" s="146" t="str">
        <f t="shared" si="23"/>
        <v/>
      </c>
      <c r="BF56" s="8" t="str">
        <f t="shared" si="24"/>
        <v/>
      </c>
      <c r="BG56" s="8" t="str">
        <f>IF(LEN(BC56)&gt;0,VLOOKUP(BC56,'Job Codes'!B49:I167,7,FALSE),"")</f>
        <v/>
      </c>
      <c r="BH56" s="192" t="str">
        <f>IF(LEN(BC56)&gt;0,VLOOKUP(BC56,'Job Codes'!B49:I167,8,FALSE),"")</f>
        <v/>
      </c>
      <c r="BI56" s="192" t="str">
        <f>IF(LEN(BC56)&gt;0,VLOOKUP(BC56,'Job Codes'!$B$2:$J$120,9,FALSE),"")</f>
        <v/>
      </c>
      <c r="BJ56" s="146" t="str">
        <f>IF(LEN(BC56)&gt;0,VLOOKUP(BC56,'Job Codes'!$B$2:$I$120,4,FALSE),"")</f>
        <v/>
      </c>
      <c r="BK56" s="146" t="str">
        <f>IF(LEN(BC56)&gt;0,VLOOKUP(BC56,'Job Codes'!$B$2:$I$120,5,FALSE),"")</f>
        <v/>
      </c>
      <c r="BL56" s="146" t="str">
        <f>IF(LEN(BC56)&gt;0,VLOOKUP(BC56,'Job Codes'!$B$2:$I$120,6,FALSE),"")</f>
        <v/>
      </c>
      <c r="BM56" s="168">
        <f t="shared" si="25"/>
        <v>27775</v>
      </c>
      <c r="BN56" s="160">
        <f t="shared" si="26"/>
        <v>27775</v>
      </c>
      <c r="BO56" s="22" t="s">
        <v>159</v>
      </c>
      <c r="BP56" s="157">
        <f>VLOOKUP(I56,'Job Codes'!$B$2:$I$120,8,FALSE)</f>
        <v>0</v>
      </c>
      <c r="BQ56" s="25" t="str">
        <f>IF(O56&gt;Data!$H$33,"Yes","No")</f>
        <v>No</v>
      </c>
      <c r="BR56" s="191">
        <v>0</v>
      </c>
      <c r="BS56" s="150">
        <f t="shared" si="27"/>
        <v>0</v>
      </c>
      <c r="BT56" s="25">
        <f t="shared" si="28"/>
        <v>0</v>
      </c>
      <c r="BU56" s="161">
        <v>1</v>
      </c>
      <c r="BV56" s="168">
        <f t="shared" si="29"/>
        <v>0</v>
      </c>
      <c r="BW56" s="160">
        <f t="shared" si="30"/>
        <v>0</v>
      </c>
      <c r="BX56" s="149"/>
      <c r="BY56" s="32">
        <f t="shared" si="31"/>
        <v>0</v>
      </c>
      <c r="BZ56" s="22" t="s">
        <v>159</v>
      </c>
      <c r="CA56" s="231">
        <f>VLOOKUP(I56,'Job Codes'!$B$2:$J$120,9,FALSE)</f>
        <v>0</v>
      </c>
      <c r="CB56" s="253">
        <f t="shared" si="32"/>
        <v>0</v>
      </c>
      <c r="CC56" s="72"/>
      <c r="CD56" s="25" t="str">
        <f t="shared" si="33"/>
        <v>Meets</v>
      </c>
      <c r="CE56" s="27"/>
      <c r="CF56" s="27"/>
      <c r="CG56" s="27"/>
      <c r="CH56" s="27"/>
      <c r="CI56" s="27"/>
      <c r="CJ56" s="3">
        <v>11308</v>
      </c>
      <c r="CK56" s="3" t="s">
        <v>154</v>
      </c>
      <c r="CL56" s="3">
        <v>4569</v>
      </c>
      <c r="CM56" s="3" t="s">
        <v>161</v>
      </c>
      <c r="CN56" s="3">
        <v>4571</v>
      </c>
      <c r="CO56" s="3" t="s">
        <v>162</v>
      </c>
      <c r="CP56" s="3">
        <v>12345</v>
      </c>
      <c r="CQ56" s="3" t="s">
        <v>163</v>
      </c>
      <c r="CR56" s="246" t="s">
        <v>179</v>
      </c>
      <c r="CS56" s="247" t="s">
        <v>180</v>
      </c>
      <c r="CT56" s="246" t="s">
        <v>166</v>
      </c>
      <c r="CU56" s="247" t="s">
        <v>167</v>
      </c>
      <c r="CV56" s="3" t="str">
        <f t="shared" si="34"/>
        <v>90876;99485</v>
      </c>
      <c r="CW56" s="3" t="s">
        <v>168</v>
      </c>
      <c r="CX56" s="3" t="str">
        <f t="shared" si="35"/>
        <v>AB56;;BB56:BD56;BU56;BX56</v>
      </c>
      <c r="CY56" s="5" t="str">
        <f t="shared" si="36"/>
        <v>Unlock</v>
      </c>
      <c r="CZ56" s="5" t="str">
        <f t="shared" si="37"/>
        <v>Lock</v>
      </c>
      <c r="DA56" s="5" t="str">
        <f t="shared" si="38"/>
        <v>Lock</v>
      </c>
      <c r="DB56" s="5" t="str">
        <f t="shared" si="39"/>
        <v>Lock</v>
      </c>
      <c r="DC56" s="5" t="str">
        <f t="shared" si="40"/>
        <v>Lock</v>
      </c>
      <c r="DD56" s="78">
        <f t="shared" si="41"/>
        <v>2</v>
      </c>
      <c r="DE56" s="2"/>
      <c r="DF56" s="2"/>
      <c r="DG56" s="2"/>
      <c r="DH56" s="2"/>
      <c r="DI56" s="2"/>
      <c r="DJ56" s="2"/>
      <c r="DK56" s="5"/>
      <c r="DL56" s="2"/>
      <c r="DM56" s="2"/>
      <c r="DN56" s="2"/>
      <c r="DO56" s="2"/>
      <c r="DP56" s="2"/>
      <c r="DQ56" s="2"/>
      <c r="DR56" s="2"/>
      <c r="DS56" s="2"/>
      <c r="DT56" s="2"/>
      <c r="DU56" s="2"/>
      <c r="DV56" s="2"/>
      <c r="DW56" s="2"/>
      <c r="DX56" s="2"/>
      <c r="DY56" s="2"/>
      <c r="DZ56" s="2"/>
      <c r="EA56" s="2"/>
      <c r="EB56" s="2"/>
      <c r="EC56" s="2"/>
      <c r="ED56" s="2"/>
      <c r="EE56" s="2"/>
      <c r="EF56" s="1"/>
      <c r="EG56" s="98"/>
      <c r="EH56" s="98"/>
      <c r="EI56" s="1"/>
      <c r="EJ56" s="1"/>
      <c r="EK56" s="98"/>
      <c r="EL56" s="1"/>
    </row>
    <row r="57" spans="1:142">
      <c r="A57" s="32">
        <f t="shared" si="0"/>
        <v>2940</v>
      </c>
      <c r="B57" s="3" t="str">
        <f t="shared" si="1"/>
        <v>sv_statement//Statement//Export Statement&amp;PDFID=Brian Okelley_2940&amp;SO=Y</v>
      </c>
      <c r="C57" s="5" t="str">
        <f t="shared" si="42"/>
        <v>Statement</v>
      </c>
      <c r="D57" s="5" t="str">
        <f t="shared" si="2"/>
        <v>Brian Okelley_2940</v>
      </c>
      <c r="E57" s="5"/>
      <c r="F57" s="5">
        <v>2940</v>
      </c>
      <c r="G57" s="22" t="s">
        <v>282</v>
      </c>
      <c r="H57" s="5" t="s">
        <v>214</v>
      </c>
      <c r="I57" s="5" t="s">
        <v>283</v>
      </c>
      <c r="J57" s="5" t="s">
        <v>208</v>
      </c>
      <c r="K57" s="5" t="s">
        <v>209</v>
      </c>
      <c r="L57" s="31">
        <f t="shared" si="3"/>
        <v>20714</v>
      </c>
      <c r="M57" s="5" t="s">
        <v>198</v>
      </c>
      <c r="N57" s="22" t="s">
        <v>155</v>
      </c>
      <c r="O57" s="100">
        <v>37341</v>
      </c>
      <c r="P57" s="146">
        <f>VLOOKUP(I57,'Job Codes'!$B$2:$I$120,4,FALSE)</f>
        <v>27000</v>
      </c>
      <c r="Q57" s="146">
        <f>VLOOKUP(I57,'Job Codes'!$B$2:$I$120,5,FALSE)</f>
        <v>35100</v>
      </c>
      <c r="R57" s="146">
        <f>VLOOKUP(I57,'Job Codes'!$B$2:$I$120,6,FALSE)</f>
        <v>42120</v>
      </c>
      <c r="S57" s="22" t="s">
        <v>171</v>
      </c>
      <c r="T57" s="146">
        <v>25314</v>
      </c>
      <c r="U57" s="8">
        <f>VLOOKUP(S57,Data!$H$22:$I$25,2,FALSE)*T57</f>
        <v>25314</v>
      </c>
      <c r="V57" s="180">
        <f t="shared" si="4"/>
        <v>0.72119658119658114</v>
      </c>
      <c r="W57" s="180">
        <f t="shared" si="5"/>
        <v>0.38658449869637357</v>
      </c>
      <c r="X57" s="22" t="str">
        <f t="shared" si="6"/>
        <v>Yes</v>
      </c>
      <c r="Y57" s="180">
        <f t="shared" si="7"/>
        <v>0.02</v>
      </c>
      <c r="Z57" s="146">
        <f t="shared" si="8"/>
        <v>506.28000000000003</v>
      </c>
      <c r="AA57" s="146">
        <f t="shared" si="9"/>
        <v>506.28000000000003</v>
      </c>
      <c r="AB57" s="72"/>
      <c r="AC57" s="146">
        <f>AB57/VLOOKUP(S57,Data!$H$22:$I$25,2,FALSE)</f>
        <v>0</v>
      </c>
      <c r="AD57" s="22" t="s">
        <v>157</v>
      </c>
      <c r="AE57" s="146">
        <f>VLOOKUP(S57,Data!$H$22:$J$25,3,FALSE)*T57</f>
        <v>759.42</v>
      </c>
      <c r="AF57" s="8">
        <f>VLOOKUP(S57,Data!$H$22:$I$25,2,FALSE)*AE57</f>
        <v>759.42</v>
      </c>
      <c r="AG57" s="8" t="s">
        <v>178</v>
      </c>
      <c r="AH57" s="23">
        <v>2.5000000000000001E-2</v>
      </c>
      <c r="AI57" s="72"/>
      <c r="AJ57" s="159">
        <f t="shared" si="10"/>
        <v>2.5000000000000001E-2</v>
      </c>
      <c r="AK57" s="168">
        <f t="shared" si="43"/>
        <v>632.85</v>
      </c>
      <c r="AL57" s="160">
        <f t="shared" si="44"/>
        <v>632.85</v>
      </c>
      <c r="AM57" s="168">
        <f t="shared" si="11"/>
        <v>25946.85</v>
      </c>
      <c r="AN57" s="160">
        <f t="shared" si="12"/>
        <v>25946.85</v>
      </c>
      <c r="AO57" s="160" t="str">
        <f t="shared" si="45"/>
        <v>No</v>
      </c>
      <c r="AP57" s="146">
        <f>IF(AQ57=0,0,AQ57/VLOOKUP(S57,Data!$H$22:$I$25,2,FALSE))</f>
        <v>0</v>
      </c>
      <c r="AQ57" s="183">
        <f t="shared" si="13"/>
        <v>0</v>
      </c>
      <c r="AR57" s="165">
        <f t="shared" si="14"/>
        <v>632.85</v>
      </c>
      <c r="AS57" s="183">
        <f t="shared" si="15"/>
        <v>632.85</v>
      </c>
      <c r="AT57" s="250">
        <f t="shared" si="16"/>
        <v>2.5000000000000001E-2</v>
      </c>
      <c r="AU57" s="146">
        <f t="shared" si="17"/>
        <v>25946.85</v>
      </c>
      <c r="AV57" s="8">
        <f t="shared" si="18"/>
        <v>25946.85</v>
      </c>
      <c r="AW57" s="8" t="str">
        <f t="shared" si="19"/>
        <v/>
      </c>
      <c r="AX57" s="180">
        <f t="shared" si="20"/>
        <v>0.73922649572649568</v>
      </c>
      <c r="AY57" s="146">
        <f t="shared" si="21"/>
        <v>0</v>
      </c>
      <c r="AZ57" s="146">
        <f t="shared" si="22"/>
        <v>0</v>
      </c>
      <c r="BA57" s="22" t="s">
        <v>159</v>
      </c>
      <c r="BB57" s="149"/>
      <c r="BC57" s="149"/>
      <c r="BD57" s="144"/>
      <c r="BE57" s="146" t="str">
        <f t="shared" si="23"/>
        <v/>
      </c>
      <c r="BF57" s="8" t="str">
        <f t="shared" si="24"/>
        <v/>
      </c>
      <c r="BG57" s="8" t="str">
        <f>IF(LEN(BC57)&gt;0,VLOOKUP(BC57,'Job Codes'!B50:I168,7,FALSE),"")</f>
        <v/>
      </c>
      <c r="BH57" s="192" t="str">
        <f>IF(LEN(BC57)&gt;0,VLOOKUP(BC57,'Job Codes'!B50:I168,8,FALSE),"")</f>
        <v/>
      </c>
      <c r="BI57" s="192" t="str">
        <f>IF(LEN(BC57)&gt;0,VLOOKUP(BC57,'Job Codes'!$B$2:$J$120,9,FALSE),"")</f>
        <v/>
      </c>
      <c r="BJ57" s="146" t="str">
        <f>IF(LEN(BC57)&gt;0,VLOOKUP(BC57,'Job Codes'!$B$2:$I$120,4,FALSE),"")</f>
        <v/>
      </c>
      <c r="BK57" s="146" t="str">
        <f>IF(LEN(BC57)&gt;0,VLOOKUP(BC57,'Job Codes'!$B$2:$I$120,5,FALSE),"")</f>
        <v/>
      </c>
      <c r="BL57" s="146" t="str">
        <f>IF(LEN(BC57)&gt;0,VLOOKUP(BC57,'Job Codes'!$B$2:$I$120,6,FALSE),"")</f>
        <v/>
      </c>
      <c r="BM57" s="168">
        <f t="shared" si="25"/>
        <v>25946.85</v>
      </c>
      <c r="BN57" s="160">
        <f t="shared" si="26"/>
        <v>25946.85</v>
      </c>
      <c r="BO57" s="22" t="s">
        <v>157</v>
      </c>
      <c r="BP57" s="157">
        <f>VLOOKUP(I57,'Job Codes'!$B$2:$I$120,8,FALSE)</f>
        <v>0.05</v>
      </c>
      <c r="BQ57" s="25" t="str">
        <f>IF(O57&gt;Data!$H$33,"Yes","No")</f>
        <v>No</v>
      </c>
      <c r="BR57" s="191">
        <v>0.05</v>
      </c>
      <c r="BS57" s="150">
        <f t="shared" si="27"/>
        <v>1265.7</v>
      </c>
      <c r="BT57" s="25">
        <f t="shared" si="28"/>
        <v>1265.7</v>
      </c>
      <c r="BU57" s="161">
        <v>1</v>
      </c>
      <c r="BV57" s="168">
        <f t="shared" si="29"/>
        <v>1265.7</v>
      </c>
      <c r="BW57" s="160">
        <f t="shared" si="30"/>
        <v>1265.7</v>
      </c>
      <c r="BX57" s="149"/>
      <c r="BY57" s="32">
        <f t="shared" si="31"/>
        <v>0</v>
      </c>
      <c r="BZ57" s="22" t="s">
        <v>159</v>
      </c>
      <c r="CA57" s="231">
        <f>VLOOKUP(I57,'Job Codes'!$B$2:$J$120,9,FALSE)</f>
        <v>0</v>
      </c>
      <c r="CB57" s="253">
        <f t="shared" si="32"/>
        <v>0</v>
      </c>
      <c r="CC57" s="72"/>
      <c r="CD57" s="25" t="str">
        <f t="shared" si="33"/>
        <v>Meets</v>
      </c>
      <c r="CE57" s="27"/>
      <c r="CF57" s="27"/>
      <c r="CG57" s="27"/>
      <c r="CH57" s="27"/>
      <c r="CI57" s="27"/>
      <c r="CJ57" s="3"/>
      <c r="CK57" s="3"/>
      <c r="CL57" s="3">
        <v>4569</v>
      </c>
      <c r="CM57" s="3" t="s">
        <v>161</v>
      </c>
      <c r="CN57" s="3">
        <v>4571</v>
      </c>
      <c r="CO57" s="3" t="s">
        <v>162</v>
      </c>
      <c r="CP57" s="3">
        <v>12345</v>
      </c>
      <c r="CQ57" s="3" t="s">
        <v>163</v>
      </c>
      <c r="CR57" s="246" t="s">
        <v>164</v>
      </c>
      <c r="CS57" s="247" t="s">
        <v>165</v>
      </c>
      <c r="CT57" s="246" t="s">
        <v>166</v>
      </c>
      <c r="CU57" s="247" t="s">
        <v>167</v>
      </c>
      <c r="CV57" s="3" t="str">
        <f t="shared" si="34"/>
        <v>67890;99485</v>
      </c>
      <c r="CW57" s="3" t="s">
        <v>168</v>
      </c>
      <c r="CX57" s="3" t="str">
        <f t="shared" si="35"/>
        <v>;;BB57:BD57;;CC57</v>
      </c>
      <c r="CY57" s="5" t="str">
        <f t="shared" si="36"/>
        <v>Unlock</v>
      </c>
      <c r="CZ57" s="5" t="str">
        <f t="shared" si="37"/>
        <v>Lock</v>
      </c>
      <c r="DA57" s="5" t="str">
        <f t="shared" si="38"/>
        <v>Lock</v>
      </c>
      <c r="DB57" s="5" t="str">
        <f t="shared" si="39"/>
        <v>Lock</v>
      </c>
      <c r="DC57" s="5" t="str">
        <f t="shared" si="40"/>
        <v>Lock</v>
      </c>
      <c r="DD57" s="78">
        <f t="shared" si="41"/>
        <v>3</v>
      </c>
      <c r="DE57" s="2"/>
      <c r="DF57" s="2"/>
      <c r="DG57" s="2"/>
      <c r="DH57" s="2"/>
      <c r="DI57" s="2"/>
      <c r="DJ57" s="2"/>
      <c r="DK57" s="5"/>
      <c r="DL57" s="2"/>
      <c r="DM57" s="2"/>
      <c r="DN57" s="2"/>
      <c r="DO57" s="2"/>
      <c r="DP57" s="2"/>
      <c r="DQ57" s="2"/>
      <c r="DR57" s="2"/>
      <c r="DS57" s="2"/>
      <c r="DT57" s="2"/>
      <c r="DU57" s="2"/>
      <c r="DV57" s="2"/>
      <c r="DW57" s="2"/>
      <c r="DX57" s="2"/>
      <c r="DY57" s="2"/>
      <c r="DZ57" s="2"/>
      <c r="EA57" s="2"/>
      <c r="EB57" s="2"/>
      <c r="EC57" s="2"/>
      <c r="ED57" s="2"/>
      <c r="EE57" s="2"/>
      <c r="EF57" s="1"/>
      <c r="EG57" s="98"/>
      <c r="EH57" s="98"/>
      <c r="EI57" s="1"/>
      <c r="EJ57" s="1"/>
      <c r="EK57" s="98"/>
      <c r="EL57" s="1"/>
    </row>
    <row r="58" spans="1:142">
      <c r="A58" s="32">
        <f t="shared" si="0"/>
        <v>2960</v>
      </c>
      <c r="B58" s="3" t="str">
        <f t="shared" si="1"/>
        <v>sv_statement//Statement//Export Statement&amp;PDFID=Chad Mclellan_2960&amp;SO=Y</v>
      </c>
      <c r="C58" s="5" t="str">
        <f t="shared" si="42"/>
        <v>Statement</v>
      </c>
      <c r="D58" s="5" t="str">
        <f t="shared" si="2"/>
        <v>Chad Mclellan_2960</v>
      </c>
      <c r="E58" s="5"/>
      <c r="F58" s="5">
        <v>2960</v>
      </c>
      <c r="G58" s="22" t="s">
        <v>284</v>
      </c>
      <c r="H58" s="5" t="s">
        <v>214</v>
      </c>
      <c r="I58" s="5" t="s">
        <v>225</v>
      </c>
      <c r="J58" s="5" t="s">
        <v>208</v>
      </c>
      <c r="K58" s="5" t="s">
        <v>209</v>
      </c>
      <c r="L58" s="31">
        <f t="shared" si="3"/>
        <v>20714</v>
      </c>
      <c r="M58" s="5" t="s">
        <v>198</v>
      </c>
      <c r="N58" s="22" t="s">
        <v>155</v>
      </c>
      <c r="O58" s="100">
        <v>37348</v>
      </c>
      <c r="P58" s="146">
        <f>VLOOKUP(I58,'Job Codes'!$B$2:$I$120,4,FALSE)</f>
        <v>27000</v>
      </c>
      <c r="Q58" s="146">
        <f>VLOOKUP(I58,'Job Codes'!$B$2:$I$120,5,FALSE)</f>
        <v>35100</v>
      </c>
      <c r="R58" s="146">
        <f>VLOOKUP(I58,'Job Codes'!$B$2:$I$120,6,FALSE)</f>
        <v>42120</v>
      </c>
      <c r="S58" s="22" t="s">
        <v>171</v>
      </c>
      <c r="T58" s="146">
        <v>34778</v>
      </c>
      <c r="U58" s="8">
        <f>VLOOKUP(S58,Data!$H$22:$I$25,2,FALSE)*T58</f>
        <v>34778</v>
      </c>
      <c r="V58" s="180">
        <f t="shared" si="4"/>
        <v>0.99082621082621081</v>
      </c>
      <c r="W58" s="180">
        <f t="shared" si="5"/>
        <v>9.2587267812985225E-3</v>
      </c>
      <c r="X58" s="22" t="str">
        <f t="shared" si="6"/>
        <v>No</v>
      </c>
      <c r="Y58" s="180">
        <f t="shared" si="7"/>
        <v>0</v>
      </c>
      <c r="Z58" s="146">
        <f t="shared" si="8"/>
        <v>0</v>
      </c>
      <c r="AA58" s="146">
        <f t="shared" si="9"/>
        <v>0</v>
      </c>
      <c r="AB58" s="72"/>
      <c r="AC58" s="146">
        <f>AB58/VLOOKUP(S58,Data!$H$22:$I$25,2,FALSE)</f>
        <v>0</v>
      </c>
      <c r="AD58" s="22" t="s">
        <v>157</v>
      </c>
      <c r="AE58" s="146">
        <f>VLOOKUP(S58,Data!$H$22:$J$25,3,FALSE)*T58</f>
        <v>1043.3399999999999</v>
      </c>
      <c r="AF58" s="8">
        <f>VLOOKUP(S58,Data!$H$22:$I$25,2,FALSE)*AE58</f>
        <v>1043.3399999999999</v>
      </c>
      <c r="AG58" s="8" t="s">
        <v>178</v>
      </c>
      <c r="AH58" s="23">
        <v>2.5000000000000001E-2</v>
      </c>
      <c r="AI58" s="72"/>
      <c r="AJ58" s="159">
        <f t="shared" si="10"/>
        <v>2.5000000000000001E-2</v>
      </c>
      <c r="AK58" s="168">
        <f t="shared" si="43"/>
        <v>869.45</v>
      </c>
      <c r="AL58" s="160">
        <f t="shared" si="44"/>
        <v>869.45</v>
      </c>
      <c r="AM58" s="168">
        <f t="shared" si="11"/>
        <v>35647.449999999997</v>
      </c>
      <c r="AN58" s="160">
        <f t="shared" si="12"/>
        <v>35647.449999999997</v>
      </c>
      <c r="AO58" s="160" t="str">
        <f t="shared" si="45"/>
        <v>No</v>
      </c>
      <c r="AP58" s="146">
        <f>IF(AQ58=0,0,AQ58/VLOOKUP(S58,Data!$H$22:$I$25,2,FALSE))</f>
        <v>0</v>
      </c>
      <c r="AQ58" s="183">
        <f t="shared" si="13"/>
        <v>0</v>
      </c>
      <c r="AR58" s="165">
        <f t="shared" si="14"/>
        <v>869.45</v>
      </c>
      <c r="AS58" s="183">
        <f t="shared" si="15"/>
        <v>869.45</v>
      </c>
      <c r="AT58" s="250">
        <f t="shared" si="16"/>
        <v>2.5000000000000001E-2</v>
      </c>
      <c r="AU58" s="146">
        <f t="shared" si="17"/>
        <v>35647.449999999997</v>
      </c>
      <c r="AV58" s="8">
        <f t="shared" si="18"/>
        <v>35647.449999999997</v>
      </c>
      <c r="AW58" s="8" t="str">
        <f t="shared" si="19"/>
        <v/>
      </c>
      <c r="AX58" s="180">
        <f t="shared" si="20"/>
        <v>1.0155968660968659</v>
      </c>
      <c r="AY58" s="146">
        <f t="shared" si="21"/>
        <v>0</v>
      </c>
      <c r="AZ58" s="146">
        <f t="shared" si="22"/>
        <v>0</v>
      </c>
      <c r="BA58" s="22" t="s">
        <v>159</v>
      </c>
      <c r="BB58" s="149"/>
      <c r="BC58" s="149"/>
      <c r="BD58" s="144"/>
      <c r="BE58" s="146" t="str">
        <f t="shared" si="23"/>
        <v/>
      </c>
      <c r="BF58" s="8" t="str">
        <f t="shared" si="24"/>
        <v/>
      </c>
      <c r="BG58" s="8" t="str">
        <f>IF(LEN(BC58)&gt;0,VLOOKUP(BC58,'Job Codes'!B51:I169,7,FALSE),"")</f>
        <v/>
      </c>
      <c r="BH58" s="192" t="str">
        <f>IF(LEN(BC58)&gt;0,VLOOKUP(BC58,'Job Codes'!B51:I169,8,FALSE),"")</f>
        <v/>
      </c>
      <c r="BI58" s="192" t="str">
        <f>IF(LEN(BC58)&gt;0,VLOOKUP(BC58,'Job Codes'!$B$2:$J$120,9,FALSE),"")</f>
        <v/>
      </c>
      <c r="BJ58" s="146" t="str">
        <f>IF(LEN(BC58)&gt;0,VLOOKUP(BC58,'Job Codes'!$B$2:$I$120,4,FALSE),"")</f>
        <v/>
      </c>
      <c r="BK58" s="146" t="str">
        <f>IF(LEN(BC58)&gt;0,VLOOKUP(BC58,'Job Codes'!$B$2:$I$120,5,FALSE),"")</f>
        <v/>
      </c>
      <c r="BL58" s="146" t="str">
        <f>IF(LEN(BC58)&gt;0,VLOOKUP(BC58,'Job Codes'!$B$2:$I$120,6,FALSE),"")</f>
        <v/>
      </c>
      <c r="BM58" s="168">
        <f t="shared" si="25"/>
        <v>35647.449999999997</v>
      </c>
      <c r="BN58" s="160">
        <f t="shared" si="26"/>
        <v>35647.449999999997</v>
      </c>
      <c r="BO58" s="22" t="s">
        <v>157</v>
      </c>
      <c r="BP58" s="157">
        <f>VLOOKUP(I58,'Job Codes'!$B$2:$I$120,8,FALSE)</f>
        <v>0.05</v>
      </c>
      <c r="BQ58" s="25" t="str">
        <f>IF(O58&gt;Data!$H$33,"Yes","No")</f>
        <v>No</v>
      </c>
      <c r="BR58" s="191">
        <v>0.05</v>
      </c>
      <c r="BS58" s="150">
        <f t="shared" si="27"/>
        <v>1738.9</v>
      </c>
      <c r="BT58" s="25">
        <f t="shared" si="28"/>
        <v>1738.9</v>
      </c>
      <c r="BU58" s="161">
        <v>1</v>
      </c>
      <c r="BV58" s="168">
        <f t="shared" si="29"/>
        <v>1738.9</v>
      </c>
      <c r="BW58" s="160">
        <f t="shared" si="30"/>
        <v>1738.9</v>
      </c>
      <c r="BX58" s="149"/>
      <c r="BY58" s="32">
        <f t="shared" si="31"/>
        <v>0</v>
      </c>
      <c r="BZ58" s="22" t="s">
        <v>159</v>
      </c>
      <c r="CA58" s="231">
        <f>VLOOKUP(I58,'Job Codes'!$B$2:$J$120,9,FALSE)</f>
        <v>0</v>
      </c>
      <c r="CB58" s="253">
        <f t="shared" si="32"/>
        <v>0</v>
      </c>
      <c r="CC58" s="72"/>
      <c r="CD58" s="25" t="str">
        <f t="shared" si="33"/>
        <v>Meets</v>
      </c>
      <c r="CE58" s="27"/>
      <c r="CF58" s="27"/>
      <c r="CG58" s="27"/>
      <c r="CH58" s="27"/>
      <c r="CI58" s="27"/>
      <c r="CJ58" s="3"/>
      <c r="CK58" s="3"/>
      <c r="CL58" s="3">
        <v>4569</v>
      </c>
      <c r="CM58" s="3" t="s">
        <v>161</v>
      </c>
      <c r="CN58" s="3">
        <v>4571</v>
      </c>
      <c r="CO58" s="3" t="s">
        <v>162</v>
      </c>
      <c r="CP58" s="3">
        <v>12345</v>
      </c>
      <c r="CQ58" s="3" t="s">
        <v>163</v>
      </c>
      <c r="CR58" s="246" t="s">
        <v>164</v>
      </c>
      <c r="CS58" s="247" t="s">
        <v>165</v>
      </c>
      <c r="CT58" s="246" t="s">
        <v>166</v>
      </c>
      <c r="CU58" s="247" t="s">
        <v>167</v>
      </c>
      <c r="CV58" s="3" t="str">
        <f t="shared" si="34"/>
        <v>67890;99485</v>
      </c>
      <c r="CW58" s="3" t="s">
        <v>168</v>
      </c>
      <c r="CX58" s="3" t="str">
        <f t="shared" si="35"/>
        <v>AB58;;BB58:BD58;;CC58</v>
      </c>
      <c r="CY58" s="5" t="str">
        <f t="shared" si="36"/>
        <v>Unlock</v>
      </c>
      <c r="CZ58" s="5" t="str">
        <f t="shared" si="37"/>
        <v>Lock</v>
      </c>
      <c r="DA58" s="5" t="str">
        <f t="shared" si="38"/>
        <v>Lock</v>
      </c>
      <c r="DB58" s="5" t="str">
        <f t="shared" si="39"/>
        <v>Lock</v>
      </c>
      <c r="DC58" s="5" t="str">
        <f t="shared" si="40"/>
        <v>Lock</v>
      </c>
      <c r="DD58" s="78">
        <f t="shared" si="41"/>
        <v>3</v>
      </c>
      <c r="DE58" s="2"/>
      <c r="DF58" s="2"/>
      <c r="DG58" s="2"/>
      <c r="DH58" s="2"/>
      <c r="DI58" s="2"/>
      <c r="DJ58" s="2"/>
      <c r="DK58" s="5"/>
      <c r="DL58" s="2"/>
      <c r="DM58" s="2"/>
      <c r="DN58" s="2"/>
      <c r="DO58" s="2"/>
      <c r="DP58" s="2"/>
      <c r="DQ58" s="2"/>
      <c r="DR58" s="2"/>
      <c r="DS58" s="2"/>
      <c r="DT58" s="2"/>
      <c r="DU58" s="2"/>
      <c r="DV58" s="2"/>
      <c r="DW58" s="2"/>
      <c r="DX58" s="2"/>
      <c r="DY58" s="2"/>
      <c r="DZ58" s="2"/>
      <c r="EA58" s="2"/>
      <c r="EB58" s="2"/>
      <c r="EC58" s="2"/>
      <c r="ED58" s="2"/>
      <c r="EE58" s="2"/>
      <c r="EF58" s="1"/>
      <c r="EG58" s="98"/>
      <c r="EH58" s="98"/>
      <c r="EI58" s="1"/>
      <c r="EJ58" s="1"/>
      <c r="EK58" s="98"/>
      <c r="EL58" s="1"/>
    </row>
    <row r="59" spans="1:142">
      <c r="A59" s="32">
        <f t="shared" si="0"/>
        <v>2985</v>
      </c>
      <c r="B59" s="3" t="str">
        <f t="shared" si="1"/>
        <v>sv_statement//Statement//Export Statement&amp;PDFID=Suzanne Witt_2985&amp;SO=Y</v>
      </c>
      <c r="C59" s="5" t="str">
        <f t="shared" si="42"/>
        <v>Statement</v>
      </c>
      <c r="D59" s="5" t="str">
        <f t="shared" si="2"/>
        <v>Suzanne Witt_2985</v>
      </c>
      <c r="E59" s="5"/>
      <c r="F59" s="5">
        <v>2985</v>
      </c>
      <c r="G59" s="22" t="s">
        <v>285</v>
      </c>
      <c r="H59" s="5" t="s">
        <v>250</v>
      </c>
      <c r="I59" s="5" t="s">
        <v>286</v>
      </c>
      <c r="J59" s="5" t="s">
        <v>220</v>
      </c>
      <c r="K59" s="5" t="s">
        <v>221</v>
      </c>
      <c r="L59" s="31">
        <f t="shared" si="3"/>
        <v>29269</v>
      </c>
      <c r="M59" s="5" t="s">
        <v>287</v>
      </c>
      <c r="N59" s="22" t="s">
        <v>155</v>
      </c>
      <c r="O59" s="100">
        <v>37357</v>
      </c>
      <c r="P59" s="146">
        <f>VLOOKUP(I59,'Job Codes'!$B$2:$I$120,4,FALSE)</f>
        <v>23000</v>
      </c>
      <c r="Q59" s="146">
        <f>VLOOKUP(I59,'Job Codes'!$B$2:$I$120,5,FALSE)</f>
        <v>29900</v>
      </c>
      <c r="R59" s="146">
        <f>VLOOKUP(I59,'Job Codes'!$B$2:$I$120,6,FALSE)</f>
        <v>35880</v>
      </c>
      <c r="S59" s="22" t="s">
        <v>171</v>
      </c>
      <c r="T59" s="146">
        <v>30098</v>
      </c>
      <c r="U59" s="8">
        <f>VLOOKUP(S59,Data!$H$22:$I$25,2,FALSE)*T59</f>
        <v>30098</v>
      </c>
      <c r="V59" s="180">
        <f t="shared" si="4"/>
        <v>1.0066220735785953</v>
      </c>
      <c r="W59" s="180">
        <f t="shared" si="5"/>
        <v>0</v>
      </c>
      <c r="X59" s="22" t="str">
        <f t="shared" si="6"/>
        <v>No</v>
      </c>
      <c r="Y59" s="180">
        <f t="shared" si="7"/>
        <v>0</v>
      </c>
      <c r="Z59" s="146">
        <f t="shared" si="8"/>
        <v>0</v>
      </c>
      <c r="AA59" s="146">
        <f t="shared" si="9"/>
        <v>0</v>
      </c>
      <c r="AB59" s="72"/>
      <c r="AC59" s="146">
        <f>AB59/VLOOKUP(S59,Data!$H$22:$I$25,2,FALSE)</f>
        <v>0</v>
      </c>
      <c r="AD59" s="22" t="s">
        <v>157</v>
      </c>
      <c r="AE59" s="146">
        <f>VLOOKUP(S59,Data!$H$22:$J$25,3,FALSE)*T59</f>
        <v>902.93999999999994</v>
      </c>
      <c r="AF59" s="8">
        <f>VLOOKUP(S59,Data!$H$22:$I$25,2,FALSE)*AE59</f>
        <v>902.93999999999994</v>
      </c>
      <c r="AG59" s="8" t="s">
        <v>178</v>
      </c>
      <c r="AH59" s="23">
        <v>2.5000000000000001E-2</v>
      </c>
      <c r="AI59" s="72"/>
      <c r="AJ59" s="159">
        <f t="shared" si="10"/>
        <v>2.5000000000000001E-2</v>
      </c>
      <c r="AK59" s="168">
        <f t="shared" si="43"/>
        <v>752.45</v>
      </c>
      <c r="AL59" s="160">
        <f t="shared" si="44"/>
        <v>752.45</v>
      </c>
      <c r="AM59" s="168">
        <f t="shared" si="11"/>
        <v>30850.45</v>
      </c>
      <c r="AN59" s="160">
        <f t="shared" si="12"/>
        <v>30850.45</v>
      </c>
      <c r="AO59" s="160" t="str">
        <f t="shared" si="45"/>
        <v>No</v>
      </c>
      <c r="AP59" s="146">
        <f>IF(AQ59=0,0,AQ59/VLOOKUP(S59,Data!$H$22:$I$25,2,FALSE))</f>
        <v>0</v>
      </c>
      <c r="AQ59" s="183">
        <f t="shared" si="13"/>
        <v>0</v>
      </c>
      <c r="AR59" s="165">
        <f t="shared" si="14"/>
        <v>752.45</v>
      </c>
      <c r="AS59" s="183">
        <f t="shared" si="15"/>
        <v>752.45</v>
      </c>
      <c r="AT59" s="250">
        <f t="shared" si="16"/>
        <v>2.5000000000000001E-2</v>
      </c>
      <c r="AU59" s="146">
        <f t="shared" si="17"/>
        <v>30850.45</v>
      </c>
      <c r="AV59" s="8">
        <f t="shared" si="18"/>
        <v>30850.45</v>
      </c>
      <c r="AW59" s="8" t="str">
        <f t="shared" si="19"/>
        <v/>
      </c>
      <c r="AX59" s="180">
        <f t="shared" si="20"/>
        <v>1.0317876254180602</v>
      </c>
      <c r="AY59" s="146">
        <f t="shared" si="21"/>
        <v>0</v>
      </c>
      <c r="AZ59" s="146">
        <f t="shared" si="22"/>
        <v>0</v>
      </c>
      <c r="BA59" s="22" t="s">
        <v>159</v>
      </c>
      <c r="BB59" s="149"/>
      <c r="BC59" s="149"/>
      <c r="BD59" s="144"/>
      <c r="BE59" s="146" t="str">
        <f t="shared" si="23"/>
        <v/>
      </c>
      <c r="BF59" s="8" t="str">
        <f t="shared" si="24"/>
        <v/>
      </c>
      <c r="BG59" s="8" t="str">
        <f>IF(LEN(BC59)&gt;0,VLOOKUP(BC59,'Job Codes'!B52:I170,7,FALSE),"")</f>
        <v/>
      </c>
      <c r="BH59" s="192" t="str">
        <f>IF(LEN(BC59)&gt;0,VLOOKUP(BC59,'Job Codes'!B52:I170,8,FALSE),"")</f>
        <v/>
      </c>
      <c r="BI59" s="192" t="str">
        <f>IF(LEN(BC59)&gt;0,VLOOKUP(BC59,'Job Codes'!$B$2:$J$120,9,FALSE),"")</f>
        <v/>
      </c>
      <c r="BJ59" s="146" t="str">
        <f>IF(LEN(BC59)&gt;0,VLOOKUP(BC59,'Job Codes'!$B$2:$I$120,4,FALSE),"")</f>
        <v/>
      </c>
      <c r="BK59" s="146" t="str">
        <f>IF(LEN(BC59)&gt;0,VLOOKUP(BC59,'Job Codes'!$B$2:$I$120,5,FALSE),"")</f>
        <v/>
      </c>
      <c r="BL59" s="146" t="str">
        <f>IF(LEN(BC59)&gt;0,VLOOKUP(BC59,'Job Codes'!$B$2:$I$120,6,FALSE),"")</f>
        <v/>
      </c>
      <c r="BM59" s="168">
        <f t="shared" si="25"/>
        <v>30850.45</v>
      </c>
      <c r="BN59" s="160">
        <f t="shared" si="26"/>
        <v>30850.45</v>
      </c>
      <c r="BO59" s="22" t="s">
        <v>159</v>
      </c>
      <c r="BP59" s="157">
        <f>VLOOKUP(I59,'Job Codes'!$B$2:$I$120,8,FALSE)</f>
        <v>0</v>
      </c>
      <c r="BQ59" s="25" t="str">
        <f>IF(O59&gt;Data!$H$33,"Yes","No")</f>
        <v>No</v>
      </c>
      <c r="BR59" s="191">
        <v>0</v>
      </c>
      <c r="BS59" s="150">
        <f t="shared" si="27"/>
        <v>0</v>
      </c>
      <c r="BT59" s="25">
        <f t="shared" si="28"/>
        <v>0</v>
      </c>
      <c r="BU59" s="161">
        <v>1</v>
      </c>
      <c r="BV59" s="168">
        <f t="shared" si="29"/>
        <v>0</v>
      </c>
      <c r="BW59" s="160">
        <f t="shared" si="30"/>
        <v>0</v>
      </c>
      <c r="BX59" s="149"/>
      <c r="BY59" s="32">
        <f t="shared" si="31"/>
        <v>0</v>
      </c>
      <c r="BZ59" s="22" t="s">
        <v>159</v>
      </c>
      <c r="CA59" s="231">
        <f>VLOOKUP(I59,'Job Codes'!$B$2:$J$120,9,FALSE)</f>
        <v>0</v>
      </c>
      <c r="CB59" s="253">
        <f t="shared" si="32"/>
        <v>0</v>
      </c>
      <c r="CC59" s="72"/>
      <c r="CD59" s="25" t="str">
        <f t="shared" si="33"/>
        <v>Meets</v>
      </c>
      <c r="CE59" s="27"/>
      <c r="CF59" s="27"/>
      <c r="CG59" s="27"/>
      <c r="CH59" s="27"/>
      <c r="CI59" s="27"/>
      <c r="CJ59" s="3">
        <v>29271</v>
      </c>
      <c r="CK59" s="3" t="s">
        <v>255</v>
      </c>
      <c r="CL59" s="3">
        <v>4569</v>
      </c>
      <c r="CM59" s="3" t="s">
        <v>161</v>
      </c>
      <c r="CN59" s="3">
        <v>4571</v>
      </c>
      <c r="CO59" s="3" t="s">
        <v>162</v>
      </c>
      <c r="CP59" s="3">
        <v>12345</v>
      </c>
      <c r="CQ59" s="3" t="s">
        <v>163</v>
      </c>
      <c r="CR59" s="246" t="s">
        <v>164</v>
      </c>
      <c r="CS59" s="5" t="s">
        <v>165</v>
      </c>
      <c r="CT59" s="246" t="s">
        <v>256</v>
      </c>
      <c r="CU59" s="247" t="s">
        <v>257</v>
      </c>
      <c r="CV59" s="3" t="str">
        <f t="shared" si="34"/>
        <v>67890;86672</v>
      </c>
      <c r="CW59" s="3" t="s">
        <v>168</v>
      </c>
      <c r="CX59" s="3" t="str">
        <f t="shared" si="35"/>
        <v>AB59;;BB59:BD59;BU59;BX59</v>
      </c>
      <c r="CY59" s="5" t="str">
        <f t="shared" si="36"/>
        <v>Unlock</v>
      </c>
      <c r="CZ59" s="5" t="str">
        <f t="shared" si="37"/>
        <v>Lock</v>
      </c>
      <c r="DA59" s="5" t="str">
        <f t="shared" si="38"/>
        <v>Lock</v>
      </c>
      <c r="DB59" s="5" t="str">
        <f t="shared" si="39"/>
        <v>Lock</v>
      </c>
      <c r="DC59" s="5" t="str">
        <f t="shared" si="40"/>
        <v>Lock</v>
      </c>
      <c r="DD59" s="78">
        <f t="shared" si="41"/>
        <v>2</v>
      </c>
      <c r="DE59" s="2"/>
      <c r="DF59" s="2"/>
      <c r="DG59" s="2"/>
      <c r="DH59" s="2"/>
      <c r="DI59" s="2"/>
      <c r="DJ59" s="2"/>
      <c r="DK59" s="5"/>
      <c r="DL59" s="2"/>
      <c r="DM59" s="2"/>
      <c r="DN59" s="2"/>
      <c r="DO59" s="2"/>
      <c r="DP59" s="2"/>
      <c r="DQ59" s="2"/>
      <c r="DR59" s="2"/>
      <c r="DS59" s="2"/>
      <c r="DT59" s="2"/>
      <c r="DU59" s="2"/>
      <c r="DV59" s="2"/>
      <c r="DW59" s="2"/>
      <c r="DX59" s="2"/>
      <c r="DY59" s="2"/>
      <c r="DZ59" s="2"/>
      <c r="EA59" s="2"/>
      <c r="EB59" s="2"/>
      <c r="EC59" s="2"/>
      <c r="ED59" s="2"/>
      <c r="EE59" s="2"/>
      <c r="EF59" s="1"/>
      <c r="EG59" s="98"/>
      <c r="EH59" s="98"/>
      <c r="EI59" s="1"/>
      <c r="EJ59" s="1"/>
      <c r="EK59" s="98"/>
      <c r="EL59" s="1"/>
    </row>
    <row r="60" spans="1:142">
      <c r="A60" s="32">
        <f t="shared" si="0"/>
        <v>3055</v>
      </c>
      <c r="B60" s="3" t="str">
        <f t="shared" si="1"/>
        <v>sv_statement//Statement//Export Statement&amp;PDFID=Tara Eddy_3055&amp;SO=Y</v>
      </c>
      <c r="C60" s="5" t="str">
        <f t="shared" si="42"/>
        <v>Statement</v>
      </c>
      <c r="D60" s="5" t="str">
        <f t="shared" si="2"/>
        <v>Tara Eddy_3055</v>
      </c>
      <c r="E60" s="5"/>
      <c r="F60" s="5">
        <v>3055</v>
      </c>
      <c r="G60" s="22" t="s">
        <v>288</v>
      </c>
      <c r="H60" s="5" t="s">
        <v>250</v>
      </c>
      <c r="I60" s="5" t="s">
        <v>289</v>
      </c>
      <c r="J60" s="5" t="s">
        <v>220</v>
      </c>
      <c r="K60" s="5" t="s">
        <v>221</v>
      </c>
      <c r="L60" s="31">
        <f t="shared" si="3"/>
        <v>29269</v>
      </c>
      <c r="M60" s="5" t="s">
        <v>287</v>
      </c>
      <c r="N60" s="22" t="s">
        <v>155</v>
      </c>
      <c r="O60" s="100">
        <v>37389</v>
      </c>
      <c r="P60" s="146">
        <f>VLOOKUP(I60,'Job Codes'!$B$2:$I$120,4,FALSE)</f>
        <v>23000</v>
      </c>
      <c r="Q60" s="146">
        <f>VLOOKUP(I60,'Job Codes'!$B$2:$I$120,5,FALSE)</f>
        <v>29900</v>
      </c>
      <c r="R60" s="146">
        <f>VLOOKUP(I60,'Job Codes'!$B$2:$I$120,6,FALSE)</f>
        <v>35880</v>
      </c>
      <c r="S60" s="22" t="s">
        <v>171</v>
      </c>
      <c r="T60" s="146">
        <v>31000</v>
      </c>
      <c r="U60" s="8">
        <f>VLOOKUP(S60,Data!$H$22:$I$25,2,FALSE)*T60</f>
        <v>31000</v>
      </c>
      <c r="V60" s="180">
        <f t="shared" si="4"/>
        <v>1.0367892976588629</v>
      </c>
      <c r="W60" s="180">
        <f t="shared" si="5"/>
        <v>0</v>
      </c>
      <c r="X60" s="22" t="str">
        <f t="shared" si="6"/>
        <v>No</v>
      </c>
      <c r="Y60" s="180">
        <f t="shared" si="7"/>
        <v>0</v>
      </c>
      <c r="Z60" s="146">
        <f t="shared" si="8"/>
        <v>0</v>
      </c>
      <c r="AA60" s="146">
        <f t="shared" si="9"/>
        <v>0</v>
      </c>
      <c r="AB60" s="72"/>
      <c r="AC60" s="146">
        <f>AB60/VLOOKUP(S60,Data!$H$22:$I$25,2,FALSE)</f>
        <v>0</v>
      </c>
      <c r="AD60" s="22" t="s">
        <v>157</v>
      </c>
      <c r="AE60" s="146">
        <f>VLOOKUP(S60,Data!$H$22:$J$25,3,FALSE)*T60</f>
        <v>930</v>
      </c>
      <c r="AF60" s="8">
        <f>VLOOKUP(S60,Data!$H$22:$I$25,2,FALSE)*AE60</f>
        <v>930</v>
      </c>
      <c r="AG60" s="8" t="s">
        <v>178</v>
      </c>
      <c r="AH60" s="23">
        <v>0.02</v>
      </c>
      <c r="AI60" s="72"/>
      <c r="AJ60" s="159">
        <f t="shared" si="10"/>
        <v>0.02</v>
      </c>
      <c r="AK60" s="168">
        <f t="shared" si="43"/>
        <v>620</v>
      </c>
      <c r="AL60" s="160">
        <f t="shared" si="44"/>
        <v>620</v>
      </c>
      <c r="AM60" s="168">
        <f t="shared" si="11"/>
        <v>31620</v>
      </c>
      <c r="AN60" s="160">
        <f t="shared" si="12"/>
        <v>31620</v>
      </c>
      <c r="AO60" s="160" t="str">
        <f t="shared" si="45"/>
        <v>No</v>
      </c>
      <c r="AP60" s="146">
        <f>IF(AQ60=0,0,AQ60/VLOOKUP(S60,Data!$H$22:$I$25,2,FALSE))</f>
        <v>0</v>
      </c>
      <c r="AQ60" s="183">
        <f t="shared" si="13"/>
        <v>0</v>
      </c>
      <c r="AR60" s="165">
        <f t="shared" si="14"/>
        <v>620</v>
      </c>
      <c r="AS60" s="183">
        <f t="shared" si="15"/>
        <v>620</v>
      </c>
      <c r="AT60" s="250">
        <f t="shared" si="16"/>
        <v>0.02</v>
      </c>
      <c r="AU60" s="146">
        <f t="shared" si="17"/>
        <v>31620</v>
      </c>
      <c r="AV60" s="8">
        <f t="shared" si="18"/>
        <v>31620</v>
      </c>
      <c r="AW60" s="8" t="str">
        <f t="shared" si="19"/>
        <v/>
      </c>
      <c r="AX60" s="180">
        <f t="shared" si="20"/>
        <v>1.0575250836120402</v>
      </c>
      <c r="AY60" s="146">
        <f t="shared" si="21"/>
        <v>0</v>
      </c>
      <c r="AZ60" s="146">
        <f t="shared" si="22"/>
        <v>0</v>
      </c>
      <c r="BA60" s="22" t="s">
        <v>159</v>
      </c>
      <c r="BB60" s="149"/>
      <c r="BC60" s="149"/>
      <c r="BD60" s="144"/>
      <c r="BE60" s="146" t="str">
        <f t="shared" si="23"/>
        <v/>
      </c>
      <c r="BF60" s="8" t="str">
        <f t="shared" si="24"/>
        <v/>
      </c>
      <c r="BG60" s="8" t="str">
        <f>IF(LEN(BC60)&gt;0,VLOOKUP(BC60,'Job Codes'!B53:I171,7,FALSE),"")</f>
        <v/>
      </c>
      <c r="BH60" s="192" t="str">
        <f>IF(LEN(BC60)&gt;0,VLOOKUP(BC60,'Job Codes'!B53:I171,8,FALSE),"")</f>
        <v/>
      </c>
      <c r="BI60" s="192" t="str">
        <f>IF(LEN(BC60)&gt;0,VLOOKUP(BC60,'Job Codes'!$B$2:$J$120,9,FALSE),"")</f>
        <v/>
      </c>
      <c r="BJ60" s="146" t="str">
        <f>IF(LEN(BC60)&gt;0,VLOOKUP(BC60,'Job Codes'!$B$2:$I$120,4,FALSE),"")</f>
        <v/>
      </c>
      <c r="BK60" s="146" t="str">
        <f>IF(LEN(BC60)&gt;0,VLOOKUP(BC60,'Job Codes'!$B$2:$I$120,5,FALSE),"")</f>
        <v/>
      </c>
      <c r="BL60" s="146" t="str">
        <f>IF(LEN(BC60)&gt;0,VLOOKUP(BC60,'Job Codes'!$B$2:$I$120,6,FALSE),"")</f>
        <v/>
      </c>
      <c r="BM60" s="168">
        <f t="shared" si="25"/>
        <v>31620</v>
      </c>
      <c r="BN60" s="160">
        <f t="shared" si="26"/>
        <v>31620</v>
      </c>
      <c r="BO60" s="22" t="s">
        <v>159</v>
      </c>
      <c r="BP60" s="157">
        <f>VLOOKUP(I60,'Job Codes'!$B$2:$I$120,8,FALSE)</f>
        <v>0</v>
      </c>
      <c r="BQ60" s="25" t="str">
        <f>IF(O60&gt;Data!$H$33,"Yes","No")</f>
        <v>No</v>
      </c>
      <c r="BR60" s="191">
        <v>0</v>
      </c>
      <c r="BS60" s="150">
        <f t="shared" si="27"/>
        <v>0</v>
      </c>
      <c r="BT60" s="25">
        <f t="shared" si="28"/>
        <v>0</v>
      </c>
      <c r="BU60" s="161">
        <v>1</v>
      </c>
      <c r="BV60" s="168">
        <f t="shared" si="29"/>
        <v>0</v>
      </c>
      <c r="BW60" s="160">
        <f t="shared" si="30"/>
        <v>0</v>
      </c>
      <c r="BX60" s="149"/>
      <c r="BY60" s="32">
        <f t="shared" si="31"/>
        <v>0</v>
      </c>
      <c r="BZ60" s="22" t="s">
        <v>159</v>
      </c>
      <c r="CA60" s="231">
        <f>VLOOKUP(I60,'Job Codes'!$B$2:$J$120,9,FALSE)</f>
        <v>0</v>
      </c>
      <c r="CB60" s="253">
        <f t="shared" si="32"/>
        <v>0</v>
      </c>
      <c r="CC60" s="72"/>
      <c r="CD60" s="25" t="str">
        <f t="shared" si="33"/>
        <v>Meets</v>
      </c>
      <c r="CE60" s="27"/>
      <c r="CF60" s="27"/>
      <c r="CG60" s="27"/>
      <c r="CH60" s="27"/>
      <c r="CI60" s="27"/>
      <c r="CJ60" s="3">
        <v>29271</v>
      </c>
      <c r="CK60" s="3" t="s">
        <v>255</v>
      </c>
      <c r="CL60" s="3">
        <v>4569</v>
      </c>
      <c r="CM60" s="3" t="s">
        <v>161</v>
      </c>
      <c r="CN60" s="3">
        <v>4571</v>
      </c>
      <c r="CO60" s="3" t="s">
        <v>162</v>
      </c>
      <c r="CP60" s="3">
        <v>12345</v>
      </c>
      <c r="CQ60" s="3" t="s">
        <v>163</v>
      </c>
      <c r="CR60" s="246" t="s">
        <v>164</v>
      </c>
      <c r="CS60" s="5" t="s">
        <v>165</v>
      </c>
      <c r="CT60" s="246" t="s">
        <v>256</v>
      </c>
      <c r="CU60" s="247" t="s">
        <v>257</v>
      </c>
      <c r="CV60" s="3" t="str">
        <f t="shared" si="34"/>
        <v>67890;86672</v>
      </c>
      <c r="CW60" s="3" t="s">
        <v>168</v>
      </c>
      <c r="CX60" s="3" t="str">
        <f t="shared" si="35"/>
        <v>AB60;;BB60:BD60;BU60;BX60</v>
      </c>
      <c r="CY60" s="5" t="str">
        <f t="shared" si="36"/>
        <v>Unlock</v>
      </c>
      <c r="CZ60" s="5" t="str">
        <f t="shared" si="37"/>
        <v>Lock</v>
      </c>
      <c r="DA60" s="5" t="str">
        <f t="shared" si="38"/>
        <v>Lock</v>
      </c>
      <c r="DB60" s="5" t="str">
        <f t="shared" si="39"/>
        <v>Lock</v>
      </c>
      <c r="DC60" s="5" t="str">
        <f t="shared" si="40"/>
        <v>Lock</v>
      </c>
      <c r="DD60" s="78">
        <f t="shared" si="41"/>
        <v>2</v>
      </c>
      <c r="DE60" s="2"/>
      <c r="DF60" s="2"/>
      <c r="DG60" s="2"/>
      <c r="DH60" s="2"/>
      <c r="DI60" s="2"/>
      <c r="DJ60" s="2"/>
      <c r="DK60" s="5"/>
      <c r="DL60" s="2"/>
      <c r="DM60" s="2"/>
      <c r="DN60" s="2"/>
      <c r="DO60" s="2"/>
      <c r="DP60" s="2"/>
      <c r="DQ60" s="2"/>
      <c r="DR60" s="2"/>
      <c r="DS60" s="2"/>
      <c r="DT60" s="2"/>
      <c r="DU60" s="2"/>
      <c r="DV60" s="2"/>
      <c r="DW60" s="2"/>
      <c r="DX60" s="2"/>
      <c r="DY60" s="2"/>
      <c r="DZ60" s="2"/>
      <c r="EA60" s="2"/>
      <c r="EB60" s="2"/>
      <c r="EC60" s="2"/>
      <c r="ED60" s="2"/>
      <c r="EE60" s="2"/>
      <c r="EF60" s="1"/>
      <c r="EG60" s="98"/>
      <c r="EH60" s="98"/>
      <c r="EI60" s="1"/>
      <c r="EJ60" s="1"/>
      <c r="EK60" s="98"/>
      <c r="EL60" s="1"/>
    </row>
    <row r="61" spans="1:142">
      <c r="A61" s="32">
        <f t="shared" si="0"/>
        <v>3059</v>
      </c>
      <c r="B61" s="3" t="str">
        <f t="shared" si="1"/>
        <v>sv_statement//Statement//Export Statement&amp;PDFID=Wayne Wilson_3059&amp;SO=Y</v>
      </c>
      <c r="C61" s="5" t="str">
        <f t="shared" si="42"/>
        <v>Statement</v>
      </c>
      <c r="D61" s="5" t="str">
        <f t="shared" si="2"/>
        <v>Wayne Wilson_3059</v>
      </c>
      <c r="E61" s="5"/>
      <c r="F61" s="5">
        <v>3059</v>
      </c>
      <c r="G61" s="22" t="s">
        <v>290</v>
      </c>
      <c r="H61" s="5" t="s">
        <v>250</v>
      </c>
      <c r="I61" s="5" t="s">
        <v>291</v>
      </c>
      <c r="J61" s="5" t="s">
        <v>220</v>
      </c>
      <c r="K61" s="5" t="s">
        <v>221</v>
      </c>
      <c r="L61" s="31">
        <f t="shared" si="3"/>
        <v>29269</v>
      </c>
      <c r="M61" s="5" t="s">
        <v>287</v>
      </c>
      <c r="N61" s="22" t="s">
        <v>155</v>
      </c>
      <c r="O61" s="100">
        <v>37389</v>
      </c>
      <c r="P61" s="146">
        <f>VLOOKUP(I61,'Job Codes'!$B$2:$I$120,4,FALSE)</f>
        <v>23000</v>
      </c>
      <c r="Q61" s="146">
        <f>VLOOKUP(I61,'Job Codes'!$B$2:$I$120,5,FALSE)</f>
        <v>29900</v>
      </c>
      <c r="R61" s="146">
        <f>VLOOKUP(I61,'Job Codes'!$B$2:$I$120,6,FALSE)</f>
        <v>35880</v>
      </c>
      <c r="S61" s="22" t="s">
        <v>171</v>
      </c>
      <c r="T61" s="146">
        <v>32136</v>
      </c>
      <c r="U61" s="8">
        <f>VLOOKUP(S61,Data!$H$22:$I$25,2,FALSE)*T61</f>
        <v>32136</v>
      </c>
      <c r="V61" s="180">
        <f t="shared" si="4"/>
        <v>1.0747826086956522</v>
      </c>
      <c r="W61" s="180">
        <f t="shared" si="5"/>
        <v>0</v>
      </c>
      <c r="X61" s="22" t="str">
        <f t="shared" si="6"/>
        <v>No</v>
      </c>
      <c r="Y61" s="180">
        <f t="shared" si="7"/>
        <v>0</v>
      </c>
      <c r="Z61" s="146">
        <f t="shared" si="8"/>
        <v>0</v>
      </c>
      <c r="AA61" s="146">
        <f t="shared" si="9"/>
        <v>0</v>
      </c>
      <c r="AB61" s="72"/>
      <c r="AC61" s="146">
        <f>AB61/VLOOKUP(S61,Data!$H$22:$I$25,2,FALSE)</f>
        <v>0</v>
      </c>
      <c r="AD61" s="22" t="s">
        <v>157</v>
      </c>
      <c r="AE61" s="146">
        <f>VLOOKUP(S61,Data!$H$22:$J$25,3,FALSE)*T61</f>
        <v>964.07999999999993</v>
      </c>
      <c r="AF61" s="8">
        <f>VLOOKUP(S61,Data!$H$22:$I$25,2,FALSE)*AE61</f>
        <v>964.07999999999993</v>
      </c>
      <c r="AG61" s="8" t="s">
        <v>178</v>
      </c>
      <c r="AH61" s="23">
        <v>2.5000000000000001E-2</v>
      </c>
      <c r="AI61" s="72"/>
      <c r="AJ61" s="159">
        <f t="shared" si="10"/>
        <v>2.5000000000000001E-2</v>
      </c>
      <c r="AK61" s="168">
        <f t="shared" si="43"/>
        <v>803.40000000000009</v>
      </c>
      <c r="AL61" s="160">
        <f t="shared" si="44"/>
        <v>803.40000000000009</v>
      </c>
      <c r="AM61" s="168">
        <f t="shared" si="11"/>
        <v>32939.4</v>
      </c>
      <c r="AN61" s="160">
        <f t="shared" si="12"/>
        <v>32939.4</v>
      </c>
      <c r="AO61" s="160" t="str">
        <f t="shared" si="45"/>
        <v>No</v>
      </c>
      <c r="AP61" s="146">
        <f>IF(AQ61=0,0,AQ61/VLOOKUP(S61,Data!$H$22:$I$25,2,FALSE))</f>
        <v>0</v>
      </c>
      <c r="AQ61" s="183">
        <f t="shared" si="13"/>
        <v>0</v>
      </c>
      <c r="AR61" s="165">
        <f t="shared" si="14"/>
        <v>803.40000000000009</v>
      </c>
      <c r="AS61" s="183">
        <f t="shared" si="15"/>
        <v>803.40000000000009</v>
      </c>
      <c r="AT61" s="250">
        <f t="shared" si="16"/>
        <v>2.5000000000000001E-2</v>
      </c>
      <c r="AU61" s="146">
        <f t="shared" si="17"/>
        <v>32939.4</v>
      </c>
      <c r="AV61" s="8">
        <f t="shared" si="18"/>
        <v>32939.4</v>
      </c>
      <c r="AW61" s="8" t="str">
        <f t="shared" si="19"/>
        <v/>
      </c>
      <c r="AX61" s="180">
        <f t="shared" si="20"/>
        <v>1.1016521739130436</v>
      </c>
      <c r="AY61" s="146">
        <f t="shared" si="21"/>
        <v>0</v>
      </c>
      <c r="AZ61" s="146">
        <f t="shared" si="22"/>
        <v>0</v>
      </c>
      <c r="BA61" s="22" t="s">
        <v>159</v>
      </c>
      <c r="BB61" s="149"/>
      <c r="BC61" s="149"/>
      <c r="BD61" s="144"/>
      <c r="BE61" s="146" t="str">
        <f t="shared" si="23"/>
        <v/>
      </c>
      <c r="BF61" s="8" t="str">
        <f t="shared" si="24"/>
        <v/>
      </c>
      <c r="BG61" s="8" t="str">
        <f>IF(LEN(BC61)&gt;0,VLOOKUP(BC61,'Job Codes'!B54:I172,7,FALSE),"")</f>
        <v/>
      </c>
      <c r="BH61" s="192" t="str">
        <f>IF(LEN(BC61)&gt;0,VLOOKUP(BC61,'Job Codes'!B54:I172,8,FALSE),"")</f>
        <v/>
      </c>
      <c r="BI61" s="192" t="str">
        <f>IF(LEN(BC61)&gt;0,VLOOKUP(BC61,'Job Codes'!$B$2:$J$120,9,FALSE),"")</f>
        <v/>
      </c>
      <c r="BJ61" s="146" t="str">
        <f>IF(LEN(BC61)&gt;0,VLOOKUP(BC61,'Job Codes'!$B$2:$I$120,4,FALSE),"")</f>
        <v/>
      </c>
      <c r="BK61" s="146" t="str">
        <f>IF(LEN(BC61)&gt;0,VLOOKUP(BC61,'Job Codes'!$B$2:$I$120,5,FALSE),"")</f>
        <v/>
      </c>
      <c r="BL61" s="146" t="str">
        <f>IF(LEN(BC61)&gt;0,VLOOKUP(BC61,'Job Codes'!$B$2:$I$120,6,FALSE),"")</f>
        <v/>
      </c>
      <c r="BM61" s="168">
        <f t="shared" si="25"/>
        <v>32939.4</v>
      </c>
      <c r="BN61" s="160">
        <f t="shared" si="26"/>
        <v>32939.4</v>
      </c>
      <c r="BO61" s="22" t="s">
        <v>159</v>
      </c>
      <c r="BP61" s="157">
        <f>VLOOKUP(I61,'Job Codes'!$B$2:$I$120,8,FALSE)</f>
        <v>0</v>
      </c>
      <c r="BQ61" s="25" t="str">
        <f>IF(O61&gt;Data!$H$33,"Yes","No")</f>
        <v>No</v>
      </c>
      <c r="BR61" s="191">
        <v>0</v>
      </c>
      <c r="BS61" s="150">
        <f t="shared" si="27"/>
        <v>0</v>
      </c>
      <c r="BT61" s="25">
        <f t="shared" si="28"/>
        <v>0</v>
      </c>
      <c r="BU61" s="161">
        <v>1</v>
      </c>
      <c r="BV61" s="168">
        <f t="shared" si="29"/>
        <v>0</v>
      </c>
      <c r="BW61" s="160">
        <f t="shared" si="30"/>
        <v>0</v>
      </c>
      <c r="BX61" s="149"/>
      <c r="BY61" s="32">
        <f t="shared" si="31"/>
        <v>0</v>
      </c>
      <c r="BZ61" s="22" t="s">
        <v>159</v>
      </c>
      <c r="CA61" s="231">
        <f>VLOOKUP(I61,'Job Codes'!$B$2:$J$120,9,FALSE)</f>
        <v>0</v>
      </c>
      <c r="CB61" s="253">
        <f t="shared" si="32"/>
        <v>0</v>
      </c>
      <c r="CC61" s="72"/>
      <c r="CD61" s="25" t="str">
        <f t="shared" si="33"/>
        <v>Meets</v>
      </c>
      <c r="CE61" s="27"/>
      <c r="CF61" s="27"/>
      <c r="CG61" s="27"/>
      <c r="CH61" s="27"/>
      <c r="CI61" s="27"/>
      <c r="CJ61" s="3">
        <v>29271</v>
      </c>
      <c r="CK61" s="3" t="s">
        <v>255</v>
      </c>
      <c r="CL61" s="3">
        <v>4569</v>
      </c>
      <c r="CM61" s="3" t="s">
        <v>161</v>
      </c>
      <c r="CN61" s="3">
        <v>4571</v>
      </c>
      <c r="CO61" s="3" t="s">
        <v>162</v>
      </c>
      <c r="CP61" s="3">
        <v>12345</v>
      </c>
      <c r="CQ61" s="3" t="s">
        <v>163</v>
      </c>
      <c r="CR61" s="246" t="s">
        <v>164</v>
      </c>
      <c r="CS61" s="5" t="s">
        <v>165</v>
      </c>
      <c r="CT61" s="246" t="s">
        <v>256</v>
      </c>
      <c r="CU61" s="247" t="s">
        <v>257</v>
      </c>
      <c r="CV61" s="3" t="str">
        <f t="shared" si="34"/>
        <v>67890;86672</v>
      </c>
      <c r="CW61" s="3" t="s">
        <v>168</v>
      </c>
      <c r="CX61" s="3" t="str">
        <f t="shared" si="35"/>
        <v>AB61;;BB61:BD61;BU61;BX61</v>
      </c>
      <c r="CY61" s="5" t="str">
        <f t="shared" si="36"/>
        <v>Unlock</v>
      </c>
      <c r="CZ61" s="5" t="str">
        <f t="shared" si="37"/>
        <v>Lock</v>
      </c>
      <c r="DA61" s="5" t="str">
        <f t="shared" si="38"/>
        <v>Lock</v>
      </c>
      <c r="DB61" s="5" t="str">
        <f t="shared" si="39"/>
        <v>Lock</v>
      </c>
      <c r="DC61" s="5" t="str">
        <f t="shared" si="40"/>
        <v>Lock</v>
      </c>
      <c r="DD61" s="78">
        <f t="shared" si="41"/>
        <v>2</v>
      </c>
      <c r="DE61" s="2"/>
      <c r="DF61" s="2"/>
      <c r="DG61" s="2"/>
      <c r="DH61" s="2"/>
      <c r="DI61" s="2"/>
      <c r="DJ61" s="2"/>
      <c r="DK61" s="5"/>
      <c r="DL61" s="2"/>
      <c r="DM61" s="2"/>
      <c r="DN61" s="2"/>
      <c r="DO61" s="2"/>
      <c r="DP61" s="2"/>
      <c r="DQ61" s="2"/>
      <c r="DR61" s="2"/>
      <c r="DS61" s="2"/>
      <c r="DT61" s="2"/>
      <c r="DU61" s="2"/>
      <c r="DV61" s="2"/>
      <c r="DW61" s="2"/>
      <c r="DX61" s="2"/>
      <c r="DY61" s="2"/>
      <c r="DZ61" s="2"/>
      <c r="EA61" s="2"/>
      <c r="EB61" s="2"/>
      <c r="EC61" s="2"/>
      <c r="ED61" s="2"/>
      <c r="EE61" s="2"/>
      <c r="EF61" s="1"/>
      <c r="EG61" s="98"/>
      <c r="EH61" s="98"/>
      <c r="EI61" s="1"/>
      <c r="EJ61" s="1"/>
      <c r="EK61" s="98"/>
      <c r="EL61" s="1"/>
    </row>
    <row r="62" spans="1:142">
      <c r="A62" s="32">
        <f t="shared" si="0"/>
        <v>3255</v>
      </c>
      <c r="B62" s="3" t="str">
        <f t="shared" si="1"/>
        <v>sv_statement//Statement//Export Statement&amp;PDFID=Joann Worsham_3255&amp;SO=Y</v>
      </c>
      <c r="C62" s="5" t="str">
        <f t="shared" si="42"/>
        <v>Statement</v>
      </c>
      <c r="D62" s="5" t="str">
        <f t="shared" si="2"/>
        <v>Joann Worsham_3255</v>
      </c>
      <c r="E62" s="5"/>
      <c r="F62" s="5">
        <v>3255</v>
      </c>
      <c r="G62" s="22" t="s">
        <v>292</v>
      </c>
      <c r="H62" s="5" t="s">
        <v>195</v>
      </c>
      <c r="I62" s="5" t="s">
        <v>293</v>
      </c>
      <c r="J62" s="5" t="s">
        <v>208</v>
      </c>
      <c r="K62" s="5" t="s">
        <v>211</v>
      </c>
      <c r="L62" s="31">
        <f t="shared" si="3"/>
        <v>11498</v>
      </c>
      <c r="M62" s="5" t="s">
        <v>197</v>
      </c>
      <c r="N62" s="22" t="s">
        <v>155</v>
      </c>
      <c r="O62" s="100">
        <v>36731</v>
      </c>
      <c r="P62" s="146">
        <f>VLOOKUP(I62,'Job Codes'!$B$2:$I$120,4,FALSE)</f>
        <v>33000</v>
      </c>
      <c r="Q62" s="146">
        <f>VLOOKUP(I62,'Job Codes'!$B$2:$I$120,5,FALSE)</f>
        <v>42900</v>
      </c>
      <c r="R62" s="146">
        <f>VLOOKUP(I62,'Job Codes'!$B$2:$I$120,6,FALSE)</f>
        <v>51480</v>
      </c>
      <c r="S62" s="22" t="s">
        <v>171</v>
      </c>
      <c r="T62" s="146">
        <v>37336</v>
      </c>
      <c r="U62" s="8">
        <f>VLOOKUP(S62,Data!$H$22:$I$25,2,FALSE)*T62</f>
        <v>37336</v>
      </c>
      <c r="V62" s="180">
        <f t="shared" si="4"/>
        <v>0.87030303030303036</v>
      </c>
      <c r="W62" s="180">
        <f t="shared" si="5"/>
        <v>0.14902506963788301</v>
      </c>
      <c r="X62" s="22" t="str">
        <f t="shared" si="6"/>
        <v>Yes</v>
      </c>
      <c r="Y62" s="180">
        <f t="shared" si="7"/>
        <v>0.02</v>
      </c>
      <c r="Z62" s="146">
        <f t="shared" si="8"/>
        <v>746.72</v>
      </c>
      <c r="AA62" s="146">
        <f t="shared" si="9"/>
        <v>746.72</v>
      </c>
      <c r="AB62" s="72"/>
      <c r="AC62" s="146">
        <f>AB62/VLOOKUP(S62,Data!$H$22:$I$25,2,FALSE)</f>
        <v>0</v>
      </c>
      <c r="AD62" s="22" t="s">
        <v>157</v>
      </c>
      <c r="AE62" s="146">
        <f>VLOOKUP(S62,Data!$H$22:$J$25,3,FALSE)*T62</f>
        <v>1120.08</v>
      </c>
      <c r="AF62" s="8">
        <f>VLOOKUP(S62,Data!$H$22:$I$25,2,FALSE)*AE62</f>
        <v>1120.08</v>
      </c>
      <c r="AG62" s="8" t="s">
        <v>178</v>
      </c>
      <c r="AH62" s="23">
        <v>2.5000000000000001E-2</v>
      </c>
      <c r="AI62" s="72"/>
      <c r="AJ62" s="159">
        <f t="shared" si="10"/>
        <v>2.5000000000000001E-2</v>
      </c>
      <c r="AK62" s="168">
        <f t="shared" si="43"/>
        <v>933.40000000000009</v>
      </c>
      <c r="AL62" s="160">
        <f t="shared" si="44"/>
        <v>933.40000000000009</v>
      </c>
      <c r="AM62" s="168">
        <f t="shared" si="11"/>
        <v>38269.4</v>
      </c>
      <c r="AN62" s="160">
        <f t="shared" si="12"/>
        <v>38269.4</v>
      </c>
      <c r="AO62" s="160" t="str">
        <f t="shared" si="45"/>
        <v>No</v>
      </c>
      <c r="AP62" s="146">
        <f>IF(AQ62=0,0,AQ62/VLOOKUP(S62,Data!$H$22:$I$25,2,FALSE))</f>
        <v>0</v>
      </c>
      <c r="AQ62" s="183">
        <f t="shared" si="13"/>
        <v>0</v>
      </c>
      <c r="AR62" s="165">
        <f t="shared" si="14"/>
        <v>933.40000000000009</v>
      </c>
      <c r="AS62" s="183">
        <f t="shared" si="15"/>
        <v>933.40000000000009</v>
      </c>
      <c r="AT62" s="250">
        <f t="shared" si="16"/>
        <v>2.5000000000000001E-2</v>
      </c>
      <c r="AU62" s="146">
        <f t="shared" si="17"/>
        <v>38269.4</v>
      </c>
      <c r="AV62" s="8">
        <f t="shared" si="18"/>
        <v>38269.4</v>
      </c>
      <c r="AW62" s="8" t="str">
        <f t="shared" si="19"/>
        <v/>
      </c>
      <c r="AX62" s="180">
        <f t="shared" si="20"/>
        <v>0.89206060606060611</v>
      </c>
      <c r="AY62" s="146">
        <f t="shared" si="21"/>
        <v>0</v>
      </c>
      <c r="AZ62" s="146">
        <f t="shared" si="22"/>
        <v>0</v>
      </c>
      <c r="BA62" s="22" t="s">
        <v>159</v>
      </c>
      <c r="BB62" s="149"/>
      <c r="BC62" s="149"/>
      <c r="BD62" s="144"/>
      <c r="BE62" s="146" t="str">
        <f t="shared" si="23"/>
        <v/>
      </c>
      <c r="BF62" s="8" t="str">
        <f t="shared" si="24"/>
        <v/>
      </c>
      <c r="BG62" s="8" t="str">
        <f>IF(LEN(BC62)&gt;0,VLOOKUP(BC62,'Job Codes'!B55:I173,7,FALSE),"")</f>
        <v/>
      </c>
      <c r="BH62" s="192" t="str">
        <f>IF(LEN(BC62)&gt;0,VLOOKUP(BC62,'Job Codes'!B55:I173,8,FALSE),"")</f>
        <v/>
      </c>
      <c r="BI62" s="192" t="str">
        <f>IF(LEN(BC62)&gt;0,VLOOKUP(BC62,'Job Codes'!$B$2:$J$120,9,FALSE),"")</f>
        <v/>
      </c>
      <c r="BJ62" s="146" t="str">
        <f>IF(LEN(BC62)&gt;0,VLOOKUP(BC62,'Job Codes'!$B$2:$I$120,4,FALSE),"")</f>
        <v/>
      </c>
      <c r="BK62" s="146" t="str">
        <f>IF(LEN(BC62)&gt;0,VLOOKUP(BC62,'Job Codes'!$B$2:$I$120,5,FALSE),"")</f>
        <v/>
      </c>
      <c r="BL62" s="146" t="str">
        <f>IF(LEN(BC62)&gt;0,VLOOKUP(BC62,'Job Codes'!$B$2:$I$120,6,FALSE),"")</f>
        <v/>
      </c>
      <c r="BM62" s="168">
        <f t="shared" si="25"/>
        <v>38269.4</v>
      </c>
      <c r="BN62" s="160">
        <f t="shared" si="26"/>
        <v>38269.4</v>
      </c>
      <c r="BO62" s="22" t="s">
        <v>157</v>
      </c>
      <c r="BP62" s="157">
        <f>VLOOKUP(I62,'Job Codes'!$B$2:$I$120,8,FALSE)</f>
        <v>0.1</v>
      </c>
      <c r="BQ62" s="25" t="str">
        <f>IF(O62&gt;Data!$H$33,"Yes","No")</f>
        <v>No</v>
      </c>
      <c r="BR62" s="191">
        <v>0.1</v>
      </c>
      <c r="BS62" s="150">
        <f t="shared" si="27"/>
        <v>3733.6000000000004</v>
      </c>
      <c r="BT62" s="25">
        <f t="shared" si="28"/>
        <v>3733.6000000000004</v>
      </c>
      <c r="BU62" s="161">
        <v>1</v>
      </c>
      <c r="BV62" s="168">
        <f t="shared" si="29"/>
        <v>3733.6000000000004</v>
      </c>
      <c r="BW62" s="160">
        <f t="shared" si="30"/>
        <v>3733.6000000000004</v>
      </c>
      <c r="BX62" s="149"/>
      <c r="BY62" s="32">
        <f t="shared" si="31"/>
        <v>0</v>
      </c>
      <c r="BZ62" s="22" t="s">
        <v>157</v>
      </c>
      <c r="CA62" s="231">
        <f>VLOOKUP(I62,'Job Codes'!$B$2:$J$120,9,FALSE)</f>
        <v>0.1</v>
      </c>
      <c r="CB62" s="253">
        <f t="shared" si="32"/>
        <v>3733.6000000000004</v>
      </c>
      <c r="CC62" s="72"/>
      <c r="CD62" s="25" t="str">
        <f t="shared" si="33"/>
        <v>Meets</v>
      </c>
      <c r="CE62" s="27"/>
      <c r="CF62" s="27"/>
      <c r="CG62" s="27"/>
      <c r="CH62" s="27"/>
      <c r="CI62" s="27"/>
      <c r="CJ62" s="3">
        <v>20714</v>
      </c>
      <c r="CK62" s="3" t="s">
        <v>198</v>
      </c>
      <c r="CL62" s="3">
        <v>4569</v>
      </c>
      <c r="CM62" s="3" t="s">
        <v>161</v>
      </c>
      <c r="CN62" s="3">
        <v>4571</v>
      </c>
      <c r="CO62" s="3" t="s">
        <v>162</v>
      </c>
      <c r="CP62" s="3">
        <v>12345</v>
      </c>
      <c r="CQ62" s="3" t="s">
        <v>163</v>
      </c>
      <c r="CR62" s="246" t="s">
        <v>166</v>
      </c>
      <c r="CS62" s="247" t="s">
        <v>167</v>
      </c>
      <c r="CT62" s="246" t="s">
        <v>199</v>
      </c>
      <c r="CU62" s="247" t="s">
        <v>200</v>
      </c>
      <c r="CV62" s="3" t="str">
        <f t="shared" si="34"/>
        <v>99485;36523</v>
      </c>
      <c r="CW62" s="3" t="s">
        <v>168</v>
      </c>
      <c r="CX62" s="3" t="str">
        <f t="shared" si="35"/>
        <v>;;BB62:BD62;;</v>
      </c>
      <c r="CY62" s="5" t="str">
        <f t="shared" si="36"/>
        <v>Unlock</v>
      </c>
      <c r="CZ62" s="5" t="str">
        <f t="shared" si="37"/>
        <v>Lock</v>
      </c>
      <c r="DA62" s="5" t="str">
        <f t="shared" si="38"/>
        <v>Lock</v>
      </c>
      <c r="DB62" s="5" t="str">
        <f t="shared" si="39"/>
        <v>Lock</v>
      </c>
      <c r="DC62" s="5" t="str">
        <f t="shared" si="40"/>
        <v>Lock</v>
      </c>
      <c r="DD62" s="78">
        <f t="shared" si="41"/>
        <v>2</v>
      </c>
      <c r="DE62" s="2"/>
      <c r="DF62" s="2"/>
      <c r="DG62" s="2"/>
      <c r="DH62" s="2"/>
      <c r="DI62" s="2"/>
      <c r="DJ62" s="2"/>
      <c r="DK62" s="5"/>
      <c r="DL62" s="2"/>
      <c r="DM62" s="2"/>
      <c r="DN62" s="2"/>
      <c r="DO62" s="2"/>
      <c r="DP62" s="2"/>
      <c r="DQ62" s="2"/>
      <c r="DR62" s="2"/>
      <c r="DS62" s="2"/>
      <c r="DT62" s="2"/>
      <c r="DU62" s="2"/>
      <c r="DV62" s="2"/>
      <c r="DW62" s="2"/>
      <c r="DX62" s="2"/>
      <c r="DY62" s="2"/>
      <c r="DZ62" s="2"/>
      <c r="EA62" s="2"/>
      <c r="EB62" s="2"/>
      <c r="EC62" s="2"/>
      <c r="ED62" s="2"/>
      <c r="EE62" s="2"/>
      <c r="EF62" s="1"/>
      <c r="EG62" s="98"/>
      <c r="EH62" s="98"/>
      <c r="EI62" s="1"/>
      <c r="EJ62" s="1"/>
      <c r="EK62" s="98"/>
      <c r="EL62" s="1"/>
    </row>
    <row r="63" spans="1:142">
      <c r="A63" s="32">
        <f t="shared" si="0"/>
        <v>3265</v>
      </c>
      <c r="B63" s="3" t="str">
        <f t="shared" si="1"/>
        <v>sv_statement//Statement//Export Statement&amp;PDFID=Clarence Maya_3265&amp;SO=Y</v>
      </c>
      <c r="C63" s="5" t="str">
        <f t="shared" si="42"/>
        <v>Statement</v>
      </c>
      <c r="D63" s="5" t="str">
        <f t="shared" si="2"/>
        <v>Clarence Maya_3265</v>
      </c>
      <c r="E63" s="5"/>
      <c r="F63" s="5">
        <v>3265</v>
      </c>
      <c r="G63" s="22" t="s">
        <v>294</v>
      </c>
      <c r="H63" s="5" t="s">
        <v>214</v>
      </c>
      <c r="I63" s="5" t="s">
        <v>215</v>
      </c>
      <c r="J63" s="5" t="s">
        <v>208</v>
      </c>
      <c r="K63" s="5" t="s">
        <v>211</v>
      </c>
      <c r="L63" s="31">
        <f t="shared" si="3"/>
        <v>11498</v>
      </c>
      <c r="M63" s="5" t="s">
        <v>197</v>
      </c>
      <c r="N63" s="22" t="s">
        <v>155</v>
      </c>
      <c r="O63" s="100">
        <v>36754</v>
      </c>
      <c r="P63" s="146">
        <f>VLOOKUP(I63,'Job Codes'!$B$2:$I$120,4,FALSE)</f>
        <v>27000</v>
      </c>
      <c r="Q63" s="146">
        <f>VLOOKUP(I63,'Job Codes'!$B$2:$I$120,5,FALSE)</f>
        <v>35100</v>
      </c>
      <c r="R63" s="146">
        <f>VLOOKUP(I63,'Job Codes'!$B$2:$I$120,6,FALSE)</f>
        <v>42120</v>
      </c>
      <c r="S63" s="22" t="s">
        <v>171</v>
      </c>
      <c r="T63" s="146">
        <v>34424</v>
      </c>
      <c r="U63" s="8">
        <f>VLOOKUP(S63,Data!$H$22:$I$25,2,FALSE)*T63</f>
        <v>34424</v>
      </c>
      <c r="V63" s="180">
        <f t="shared" si="4"/>
        <v>0.98074074074074069</v>
      </c>
      <c r="W63" s="180">
        <f t="shared" si="5"/>
        <v>1.9637462235649546E-2</v>
      </c>
      <c r="X63" s="22" t="str">
        <f t="shared" si="6"/>
        <v>No</v>
      </c>
      <c r="Y63" s="180">
        <f t="shared" si="7"/>
        <v>0</v>
      </c>
      <c r="Z63" s="146">
        <f t="shared" si="8"/>
        <v>0</v>
      </c>
      <c r="AA63" s="146">
        <f t="shared" si="9"/>
        <v>0</v>
      </c>
      <c r="AB63" s="72"/>
      <c r="AC63" s="146">
        <f>AB63/VLOOKUP(S63,Data!$H$22:$I$25,2,FALSE)</f>
        <v>0</v>
      </c>
      <c r="AD63" s="22" t="s">
        <v>157</v>
      </c>
      <c r="AE63" s="146">
        <f>VLOOKUP(S63,Data!$H$22:$J$25,3,FALSE)*T63</f>
        <v>1032.72</v>
      </c>
      <c r="AF63" s="8">
        <f>VLOOKUP(S63,Data!$H$22:$I$25,2,FALSE)*AE63</f>
        <v>1032.72</v>
      </c>
      <c r="AG63" s="8" t="s">
        <v>178</v>
      </c>
      <c r="AH63" s="23">
        <v>2.1999999999999999E-2</v>
      </c>
      <c r="AI63" s="72"/>
      <c r="AJ63" s="159">
        <f t="shared" si="10"/>
        <v>2.1999999999999999E-2</v>
      </c>
      <c r="AK63" s="168">
        <f t="shared" si="43"/>
        <v>757.32799999999997</v>
      </c>
      <c r="AL63" s="160">
        <f t="shared" si="44"/>
        <v>757.32799999999997</v>
      </c>
      <c r="AM63" s="168">
        <f t="shared" si="11"/>
        <v>35181.328000000001</v>
      </c>
      <c r="AN63" s="160">
        <f t="shared" si="12"/>
        <v>35181.328000000001</v>
      </c>
      <c r="AO63" s="160" t="str">
        <f t="shared" si="45"/>
        <v>No</v>
      </c>
      <c r="AP63" s="146">
        <f>IF(AQ63=0,0,AQ63/VLOOKUP(S63,Data!$H$22:$I$25,2,FALSE))</f>
        <v>0</v>
      </c>
      <c r="AQ63" s="183">
        <f t="shared" si="13"/>
        <v>0</v>
      </c>
      <c r="AR63" s="165">
        <f t="shared" si="14"/>
        <v>757.32799999999997</v>
      </c>
      <c r="AS63" s="183">
        <f t="shared" si="15"/>
        <v>757.32799999999997</v>
      </c>
      <c r="AT63" s="250">
        <f t="shared" si="16"/>
        <v>2.1999999999999999E-2</v>
      </c>
      <c r="AU63" s="146">
        <f t="shared" si="17"/>
        <v>35181.328000000001</v>
      </c>
      <c r="AV63" s="8">
        <f t="shared" si="18"/>
        <v>35181.328000000001</v>
      </c>
      <c r="AW63" s="8" t="str">
        <f t="shared" si="19"/>
        <v/>
      </c>
      <c r="AX63" s="180">
        <f t="shared" si="20"/>
        <v>1.0023170370370371</v>
      </c>
      <c r="AY63" s="146">
        <f t="shared" si="21"/>
        <v>0</v>
      </c>
      <c r="AZ63" s="146">
        <f t="shared" si="22"/>
        <v>0</v>
      </c>
      <c r="BA63" s="22" t="s">
        <v>159</v>
      </c>
      <c r="BB63" s="149"/>
      <c r="BC63" s="149"/>
      <c r="BD63" s="144"/>
      <c r="BE63" s="146" t="str">
        <f t="shared" si="23"/>
        <v/>
      </c>
      <c r="BF63" s="8" t="str">
        <f t="shared" si="24"/>
        <v/>
      </c>
      <c r="BG63" s="8" t="str">
        <f>IF(LEN(BC63)&gt;0,VLOOKUP(BC63,'Job Codes'!B56:I174,7,FALSE),"")</f>
        <v/>
      </c>
      <c r="BH63" s="192" t="str">
        <f>IF(LEN(BC63)&gt;0,VLOOKUP(BC63,'Job Codes'!B56:I174,8,FALSE),"")</f>
        <v/>
      </c>
      <c r="BI63" s="192" t="str">
        <f>IF(LEN(BC63)&gt;0,VLOOKUP(BC63,'Job Codes'!$B$2:$J$120,9,FALSE),"")</f>
        <v/>
      </c>
      <c r="BJ63" s="146" t="str">
        <f>IF(LEN(BC63)&gt;0,VLOOKUP(BC63,'Job Codes'!$B$2:$I$120,4,FALSE),"")</f>
        <v/>
      </c>
      <c r="BK63" s="146" t="str">
        <f>IF(LEN(BC63)&gt;0,VLOOKUP(BC63,'Job Codes'!$B$2:$I$120,5,FALSE),"")</f>
        <v/>
      </c>
      <c r="BL63" s="146" t="str">
        <f>IF(LEN(BC63)&gt;0,VLOOKUP(BC63,'Job Codes'!$B$2:$I$120,6,FALSE),"")</f>
        <v/>
      </c>
      <c r="BM63" s="168">
        <f t="shared" si="25"/>
        <v>35181.328000000001</v>
      </c>
      <c r="BN63" s="160">
        <f t="shared" si="26"/>
        <v>35181.328000000001</v>
      </c>
      <c r="BO63" s="22" t="s">
        <v>157</v>
      </c>
      <c r="BP63" s="157">
        <f>VLOOKUP(I63,'Job Codes'!$B$2:$I$120,8,FALSE)</f>
        <v>0.05</v>
      </c>
      <c r="BQ63" s="25" t="str">
        <f>IF(O63&gt;Data!$H$33,"Yes","No")</f>
        <v>No</v>
      </c>
      <c r="BR63" s="191">
        <v>0.05</v>
      </c>
      <c r="BS63" s="150">
        <f t="shared" si="27"/>
        <v>1721.2</v>
      </c>
      <c r="BT63" s="25">
        <f t="shared" si="28"/>
        <v>1721.2</v>
      </c>
      <c r="BU63" s="161">
        <v>1</v>
      </c>
      <c r="BV63" s="168">
        <f t="shared" si="29"/>
        <v>1721.2</v>
      </c>
      <c r="BW63" s="160">
        <f t="shared" si="30"/>
        <v>1721.2</v>
      </c>
      <c r="BX63" s="149"/>
      <c r="BY63" s="32">
        <f t="shared" si="31"/>
        <v>0</v>
      </c>
      <c r="BZ63" s="22" t="s">
        <v>159</v>
      </c>
      <c r="CA63" s="231">
        <f>VLOOKUP(I63,'Job Codes'!$B$2:$J$120,9,FALSE)</f>
        <v>0</v>
      </c>
      <c r="CB63" s="253">
        <f t="shared" si="32"/>
        <v>0</v>
      </c>
      <c r="CC63" s="72"/>
      <c r="CD63" s="25" t="str">
        <f t="shared" si="33"/>
        <v>Meets</v>
      </c>
      <c r="CE63" s="27"/>
      <c r="CF63" s="27"/>
      <c r="CG63" s="27"/>
      <c r="CH63" s="27"/>
      <c r="CI63" s="27"/>
      <c r="CJ63" s="3">
        <v>20714</v>
      </c>
      <c r="CK63" s="3" t="s">
        <v>198</v>
      </c>
      <c r="CL63" s="3">
        <v>4569</v>
      </c>
      <c r="CM63" s="3" t="s">
        <v>161</v>
      </c>
      <c r="CN63" s="3">
        <v>4571</v>
      </c>
      <c r="CO63" s="3" t="s">
        <v>162</v>
      </c>
      <c r="CP63" s="3">
        <v>12345</v>
      </c>
      <c r="CQ63" s="3" t="s">
        <v>163</v>
      </c>
      <c r="CR63" s="246" t="s">
        <v>166</v>
      </c>
      <c r="CS63" s="247" t="s">
        <v>167</v>
      </c>
      <c r="CT63" s="246" t="s">
        <v>199</v>
      </c>
      <c r="CU63" s="247" t="s">
        <v>200</v>
      </c>
      <c r="CV63" s="3" t="str">
        <f t="shared" si="34"/>
        <v>99485;36523</v>
      </c>
      <c r="CW63" s="3" t="s">
        <v>168</v>
      </c>
      <c r="CX63" s="3" t="str">
        <f t="shared" si="35"/>
        <v>AB63;;BB63:BD63;;CC63</v>
      </c>
      <c r="CY63" s="5" t="str">
        <f t="shared" si="36"/>
        <v>Unlock</v>
      </c>
      <c r="CZ63" s="5" t="str">
        <f t="shared" si="37"/>
        <v>Lock</v>
      </c>
      <c r="DA63" s="5" t="str">
        <f t="shared" si="38"/>
        <v>Lock</v>
      </c>
      <c r="DB63" s="5" t="str">
        <f t="shared" si="39"/>
        <v>Lock</v>
      </c>
      <c r="DC63" s="5" t="str">
        <f t="shared" si="40"/>
        <v>Lock</v>
      </c>
      <c r="DD63" s="78">
        <f t="shared" si="41"/>
        <v>2</v>
      </c>
      <c r="DE63" s="2"/>
      <c r="DF63" s="2"/>
      <c r="DG63" s="2"/>
      <c r="DH63" s="2"/>
      <c r="DI63" s="2"/>
      <c r="DJ63" s="2"/>
      <c r="DK63" s="5"/>
      <c r="DL63" s="2"/>
      <c r="DM63" s="2"/>
      <c r="DN63" s="2"/>
      <c r="DO63" s="2"/>
      <c r="DP63" s="2"/>
      <c r="DQ63" s="2"/>
      <c r="DR63" s="2"/>
      <c r="DS63" s="2"/>
      <c r="DT63" s="2"/>
      <c r="DU63" s="2"/>
      <c r="DV63" s="2"/>
      <c r="DW63" s="2"/>
      <c r="DX63" s="2"/>
      <c r="DY63" s="2"/>
      <c r="DZ63" s="2"/>
      <c r="EA63" s="2"/>
      <c r="EB63" s="2"/>
      <c r="EC63" s="2"/>
      <c r="ED63" s="2"/>
      <c r="EE63" s="2"/>
      <c r="EF63" s="1"/>
      <c r="EG63" s="98"/>
      <c r="EH63" s="98"/>
      <c r="EI63" s="1"/>
      <c r="EJ63" s="1"/>
      <c r="EK63" s="98"/>
      <c r="EL63" s="1"/>
    </row>
    <row r="64" spans="1:142">
      <c r="A64" s="32">
        <f t="shared" si="0"/>
        <v>3272</v>
      </c>
      <c r="B64" s="3" t="str">
        <f t="shared" si="1"/>
        <v>sv_statement//Statement//Export Statement&amp;PDFID=Molly Aucoin_3272&amp;SO=Y</v>
      </c>
      <c r="C64" s="5" t="str">
        <f t="shared" si="42"/>
        <v>Statement</v>
      </c>
      <c r="D64" s="5" t="str">
        <f t="shared" si="2"/>
        <v>Molly Aucoin_3272</v>
      </c>
      <c r="E64" s="5"/>
      <c r="F64" s="5">
        <v>3272</v>
      </c>
      <c r="G64" s="22" t="s">
        <v>295</v>
      </c>
      <c r="H64" s="5" t="s">
        <v>296</v>
      </c>
      <c r="I64" s="5" t="s">
        <v>297</v>
      </c>
      <c r="J64" s="5" t="s">
        <v>152</v>
      </c>
      <c r="K64" s="5" t="s">
        <v>153</v>
      </c>
      <c r="L64" s="31">
        <f t="shared" si="3"/>
        <v>11351</v>
      </c>
      <c r="M64" s="5" t="s">
        <v>177</v>
      </c>
      <c r="N64" s="22" t="s">
        <v>155</v>
      </c>
      <c r="O64" s="100">
        <v>36282</v>
      </c>
      <c r="P64" s="146">
        <f>VLOOKUP(I64,'Job Codes'!$B$2:$I$120,4,FALSE)</f>
        <v>37000</v>
      </c>
      <c r="Q64" s="146">
        <f>VLOOKUP(I64,'Job Codes'!$B$2:$I$120,5,FALSE)</f>
        <v>48100</v>
      </c>
      <c r="R64" s="146">
        <f>VLOOKUP(I64,'Job Codes'!$B$2:$I$120,6,FALSE)</f>
        <v>57720</v>
      </c>
      <c r="S64" s="22" t="s">
        <v>171</v>
      </c>
      <c r="T64" s="146">
        <v>38459</v>
      </c>
      <c r="U64" s="8">
        <f>VLOOKUP(S64,Data!$H$22:$I$25,2,FALSE)*T64</f>
        <v>38459</v>
      </c>
      <c r="V64" s="180">
        <f t="shared" si="4"/>
        <v>0.79956340956340954</v>
      </c>
      <c r="W64" s="180">
        <f t="shared" si="5"/>
        <v>0.25068254504797316</v>
      </c>
      <c r="X64" s="22" t="str">
        <f t="shared" si="6"/>
        <v>Yes</v>
      </c>
      <c r="Y64" s="180">
        <f t="shared" si="7"/>
        <v>0.02</v>
      </c>
      <c r="Z64" s="146">
        <f t="shared" si="8"/>
        <v>769.18000000000006</v>
      </c>
      <c r="AA64" s="146">
        <f t="shared" si="9"/>
        <v>769.18000000000006</v>
      </c>
      <c r="AB64" s="72"/>
      <c r="AC64" s="146">
        <f>AB64/VLOOKUP(S64,Data!$H$22:$I$25,2,FALSE)</f>
        <v>0</v>
      </c>
      <c r="AD64" s="22" t="s">
        <v>157</v>
      </c>
      <c r="AE64" s="146">
        <f>VLOOKUP(S64,Data!$H$22:$J$25,3,FALSE)*T64</f>
        <v>1153.77</v>
      </c>
      <c r="AF64" s="8">
        <f>VLOOKUP(S64,Data!$H$22:$I$25,2,FALSE)*AE64</f>
        <v>1153.77</v>
      </c>
      <c r="AG64" s="8" t="s">
        <v>178</v>
      </c>
      <c r="AH64" s="23">
        <v>2.5000000000000001E-2</v>
      </c>
      <c r="AI64" s="72"/>
      <c r="AJ64" s="159">
        <f t="shared" si="10"/>
        <v>2.5000000000000001E-2</v>
      </c>
      <c r="AK64" s="168">
        <f t="shared" si="43"/>
        <v>961.47500000000002</v>
      </c>
      <c r="AL64" s="160">
        <f t="shared" si="44"/>
        <v>961.47500000000002</v>
      </c>
      <c r="AM64" s="168">
        <f t="shared" si="11"/>
        <v>39420.474999999999</v>
      </c>
      <c r="AN64" s="160">
        <f t="shared" si="12"/>
        <v>39420.474999999999</v>
      </c>
      <c r="AO64" s="160" t="str">
        <f t="shared" si="45"/>
        <v>No</v>
      </c>
      <c r="AP64" s="146">
        <f>IF(AQ64=0,0,AQ64/VLOOKUP(S64,Data!$H$22:$I$25,2,FALSE))</f>
        <v>0</v>
      </c>
      <c r="AQ64" s="183">
        <f t="shared" si="13"/>
        <v>0</v>
      </c>
      <c r="AR64" s="165">
        <f t="shared" si="14"/>
        <v>961.47500000000002</v>
      </c>
      <c r="AS64" s="183">
        <f t="shared" si="15"/>
        <v>961.47500000000002</v>
      </c>
      <c r="AT64" s="250">
        <f t="shared" si="16"/>
        <v>2.5000000000000001E-2</v>
      </c>
      <c r="AU64" s="146">
        <f t="shared" si="17"/>
        <v>39420.474999999999</v>
      </c>
      <c r="AV64" s="8">
        <f t="shared" si="18"/>
        <v>39420.474999999999</v>
      </c>
      <c r="AW64" s="8" t="str">
        <f t="shared" si="19"/>
        <v/>
      </c>
      <c r="AX64" s="180">
        <f t="shared" si="20"/>
        <v>0.81955249480249481</v>
      </c>
      <c r="AY64" s="146">
        <f t="shared" si="21"/>
        <v>0</v>
      </c>
      <c r="AZ64" s="146">
        <f t="shared" si="22"/>
        <v>0</v>
      </c>
      <c r="BA64" s="22" t="s">
        <v>159</v>
      </c>
      <c r="BB64" s="149"/>
      <c r="BC64" s="149"/>
      <c r="BD64" s="144"/>
      <c r="BE64" s="146" t="str">
        <f t="shared" si="23"/>
        <v/>
      </c>
      <c r="BF64" s="8" t="str">
        <f t="shared" si="24"/>
        <v/>
      </c>
      <c r="BG64" s="8" t="str">
        <f>IF(LEN(BC64)&gt;0,VLOOKUP(BC64,'Job Codes'!B57:I175,7,FALSE),"")</f>
        <v/>
      </c>
      <c r="BH64" s="192" t="str">
        <f>IF(LEN(BC64)&gt;0,VLOOKUP(BC64,'Job Codes'!B57:I175,8,FALSE),"")</f>
        <v/>
      </c>
      <c r="BI64" s="192" t="str">
        <f>IF(LEN(BC64)&gt;0,VLOOKUP(BC64,'Job Codes'!$B$2:$J$120,9,FALSE),"")</f>
        <v/>
      </c>
      <c r="BJ64" s="146" t="str">
        <f>IF(LEN(BC64)&gt;0,VLOOKUP(BC64,'Job Codes'!$B$2:$I$120,4,FALSE),"")</f>
        <v/>
      </c>
      <c r="BK64" s="146" t="str">
        <f>IF(LEN(BC64)&gt;0,VLOOKUP(BC64,'Job Codes'!$B$2:$I$120,5,FALSE),"")</f>
        <v/>
      </c>
      <c r="BL64" s="146" t="str">
        <f>IF(LEN(BC64)&gt;0,VLOOKUP(BC64,'Job Codes'!$B$2:$I$120,6,FALSE),"")</f>
        <v/>
      </c>
      <c r="BM64" s="168">
        <f t="shared" si="25"/>
        <v>39420.474999999999</v>
      </c>
      <c r="BN64" s="160">
        <f t="shared" si="26"/>
        <v>39420.474999999999</v>
      </c>
      <c r="BO64" s="22" t="s">
        <v>157</v>
      </c>
      <c r="BP64" s="157">
        <f>VLOOKUP(I64,'Job Codes'!$B$2:$I$120,8,FALSE)</f>
        <v>0.15</v>
      </c>
      <c r="BQ64" s="25" t="str">
        <f>IF(O64&gt;Data!$H$33,"Yes","No")</f>
        <v>No</v>
      </c>
      <c r="BR64" s="191">
        <v>0.15</v>
      </c>
      <c r="BS64" s="150">
        <f t="shared" si="27"/>
        <v>5768.8499999999995</v>
      </c>
      <c r="BT64" s="25">
        <f t="shared" si="28"/>
        <v>5768.8499999999995</v>
      </c>
      <c r="BU64" s="161">
        <v>1</v>
      </c>
      <c r="BV64" s="168">
        <f t="shared" si="29"/>
        <v>5768.8499999999995</v>
      </c>
      <c r="BW64" s="160">
        <f t="shared" si="30"/>
        <v>5768.8499999999995</v>
      </c>
      <c r="BX64" s="149"/>
      <c r="BY64" s="32">
        <f t="shared" si="31"/>
        <v>0</v>
      </c>
      <c r="BZ64" s="22" t="s">
        <v>157</v>
      </c>
      <c r="CA64" s="231">
        <f>VLOOKUP(I64,'Job Codes'!$B$2:$J$120,9,FALSE)</f>
        <v>0.15</v>
      </c>
      <c r="CB64" s="253">
        <f t="shared" si="32"/>
        <v>5768.8499999999995</v>
      </c>
      <c r="CC64" s="72"/>
      <c r="CD64" s="25" t="str">
        <f t="shared" si="33"/>
        <v>Meets</v>
      </c>
      <c r="CE64" s="27"/>
      <c r="CF64" s="27"/>
      <c r="CG64" s="27"/>
      <c r="CH64" s="27"/>
      <c r="CI64" s="27"/>
      <c r="CJ64" s="3">
        <v>11308</v>
      </c>
      <c r="CK64" s="3" t="s">
        <v>154</v>
      </c>
      <c r="CL64" s="3">
        <v>4569</v>
      </c>
      <c r="CM64" s="3" t="s">
        <v>161</v>
      </c>
      <c r="CN64" s="3">
        <v>4571</v>
      </c>
      <c r="CO64" s="3" t="s">
        <v>162</v>
      </c>
      <c r="CP64" s="3">
        <v>12345</v>
      </c>
      <c r="CQ64" s="3" t="s">
        <v>163</v>
      </c>
      <c r="CR64" s="246" t="s">
        <v>179</v>
      </c>
      <c r="CS64" s="247" t="s">
        <v>180</v>
      </c>
      <c r="CT64" s="246" t="s">
        <v>166</v>
      </c>
      <c r="CU64" s="247" t="s">
        <v>167</v>
      </c>
      <c r="CV64" s="3" t="str">
        <f t="shared" si="34"/>
        <v>90876;99485</v>
      </c>
      <c r="CW64" s="3" t="s">
        <v>168</v>
      </c>
      <c r="CX64" s="3" t="str">
        <f t="shared" si="35"/>
        <v>;;BB64:BD64;;</v>
      </c>
      <c r="CY64" s="5" t="str">
        <f t="shared" si="36"/>
        <v>Unlock</v>
      </c>
      <c r="CZ64" s="5" t="str">
        <f t="shared" si="37"/>
        <v>Lock</v>
      </c>
      <c r="DA64" s="5" t="str">
        <f t="shared" si="38"/>
        <v>Lock</v>
      </c>
      <c r="DB64" s="5" t="str">
        <f t="shared" si="39"/>
        <v>Lock</v>
      </c>
      <c r="DC64" s="5" t="str">
        <f t="shared" si="40"/>
        <v>Lock</v>
      </c>
      <c r="DD64" s="78">
        <f t="shared" si="41"/>
        <v>2</v>
      </c>
      <c r="DE64" s="2"/>
      <c r="DF64" s="2"/>
      <c r="DG64" s="2"/>
      <c r="DH64" s="2"/>
      <c r="DI64" s="2"/>
      <c r="DJ64" s="2"/>
      <c r="DK64" s="5"/>
      <c r="DL64" s="2"/>
      <c r="DM64" s="2"/>
      <c r="DN64" s="2"/>
      <c r="DO64" s="2"/>
      <c r="DP64" s="2"/>
      <c r="DQ64" s="2"/>
      <c r="DR64" s="2"/>
      <c r="DS64" s="2"/>
      <c r="DT64" s="2"/>
      <c r="DU64" s="2"/>
      <c r="DV64" s="2"/>
      <c r="DW64" s="2"/>
      <c r="DX64" s="2"/>
      <c r="DY64" s="2"/>
      <c r="DZ64" s="2"/>
      <c r="EA64" s="2"/>
      <c r="EB64" s="2"/>
      <c r="EC64" s="2"/>
      <c r="ED64" s="2"/>
      <c r="EE64" s="2"/>
      <c r="EF64" s="1"/>
      <c r="EG64" s="98"/>
      <c r="EH64" s="98"/>
      <c r="EI64" s="1"/>
      <c r="EJ64" s="1"/>
      <c r="EK64" s="98"/>
      <c r="EL64" s="1"/>
    </row>
    <row r="65" spans="1:142">
      <c r="A65" s="32">
        <f t="shared" si="0"/>
        <v>3282</v>
      </c>
      <c r="B65" s="3" t="str">
        <f t="shared" si="1"/>
        <v>sv_statement//Statement//Export Statement&amp;PDFID=Patsy Bey_3282&amp;SO=Y</v>
      </c>
      <c r="C65" s="5" t="str">
        <f t="shared" si="42"/>
        <v>Statement</v>
      </c>
      <c r="D65" s="5" t="str">
        <f t="shared" si="2"/>
        <v>Patsy Bey_3282</v>
      </c>
      <c r="E65" s="5"/>
      <c r="F65" s="5">
        <v>3282</v>
      </c>
      <c r="G65" s="22" t="s">
        <v>298</v>
      </c>
      <c r="H65" s="5" t="s">
        <v>214</v>
      </c>
      <c r="I65" s="5" t="s">
        <v>225</v>
      </c>
      <c r="J65" s="5" t="s">
        <v>208</v>
      </c>
      <c r="K65" s="5" t="s">
        <v>211</v>
      </c>
      <c r="L65" s="31">
        <f t="shared" si="3"/>
        <v>11498</v>
      </c>
      <c r="M65" s="5" t="s">
        <v>197</v>
      </c>
      <c r="N65" s="22" t="s">
        <v>155</v>
      </c>
      <c r="O65" s="100">
        <v>37011</v>
      </c>
      <c r="P65" s="146">
        <f>VLOOKUP(I65,'Job Codes'!$B$2:$I$120,4,FALSE)</f>
        <v>27000</v>
      </c>
      <c r="Q65" s="146">
        <f>VLOOKUP(I65,'Job Codes'!$B$2:$I$120,5,FALSE)</f>
        <v>35100</v>
      </c>
      <c r="R65" s="146">
        <f>VLOOKUP(I65,'Job Codes'!$B$2:$I$120,6,FALSE)</f>
        <v>42120</v>
      </c>
      <c r="S65" s="22" t="s">
        <v>171</v>
      </c>
      <c r="T65" s="146">
        <v>38168</v>
      </c>
      <c r="U65" s="8">
        <f>VLOOKUP(S65,Data!$H$22:$I$25,2,FALSE)*T65</f>
        <v>38168</v>
      </c>
      <c r="V65" s="180">
        <f t="shared" si="4"/>
        <v>1.0874074074074074</v>
      </c>
      <c r="W65" s="180">
        <f t="shared" si="5"/>
        <v>0</v>
      </c>
      <c r="X65" s="22" t="str">
        <f t="shared" si="6"/>
        <v>No</v>
      </c>
      <c r="Y65" s="180">
        <f t="shared" si="7"/>
        <v>0</v>
      </c>
      <c r="Z65" s="146">
        <f t="shared" si="8"/>
        <v>0</v>
      </c>
      <c r="AA65" s="146">
        <f t="shared" si="9"/>
        <v>0</v>
      </c>
      <c r="AB65" s="72"/>
      <c r="AC65" s="146">
        <f>AB65/VLOOKUP(S65,Data!$H$22:$I$25,2,FALSE)</f>
        <v>0</v>
      </c>
      <c r="AD65" s="22" t="s">
        <v>157</v>
      </c>
      <c r="AE65" s="146">
        <f>VLOOKUP(S65,Data!$H$22:$J$25,3,FALSE)*T65</f>
        <v>1145.04</v>
      </c>
      <c r="AF65" s="8">
        <f>VLOOKUP(S65,Data!$H$22:$I$25,2,FALSE)*AE65</f>
        <v>1145.04</v>
      </c>
      <c r="AG65" s="8" t="s">
        <v>158</v>
      </c>
      <c r="AH65" s="23">
        <v>3.5000000000000003E-2</v>
      </c>
      <c r="AI65" s="72"/>
      <c r="AJ65" s="159">
        <f t="shared" si="10"/>
        <v>3.5000000000000003E-2</v>
      </c>
      <c r="AK65" s="168">
        <f t="shared" si="43"/>
        <v>1335.88</v>
      </c>
      <c r="AL65" s="160">
        <f t="shared" si="44"/>
        <v>1335.88</v>
      </c>
      <c r="AM65" s="168">
        <f t="shared" si="11"/>
        <v>39503.879999999997</v>
      </c>
      <c r="AN65" s="160">
        <f t="shared" si="12"/>
        <v>39503.879999999997</v>
      </c>
      <c r="AO65" s="160" t="str">
        <f t="shared" si="45"/>
        <v>No</v>
      </c>
      <c r="AP65" s="146">
        <f>IF(AQ65=0,0,AQ65/VLOOKUP(S65,Data!$H$22:$I$25,2,FALSE))</f>
        <v>0</v>
      </c>
      <c r="AQ65" s="183">
        <f t="shared" si="13"/>
        <v>0</v>
      </c>
      <c r="AR65" s="165">
        <f t="shared" si="14"/>
        <v>1335.88</v>
      </c>
      <c r="AS65" s="183">
        <f t="shared" si="15"/>
        <v>1335.88</v>
      </c>
      <c r="AT65" s="250">
        <f t="shared" si="16"/>
        <v>3.5000000000000003E-2</v>
      </c>
      <c r="AU65" s="146">
        <f t="shared" si="17"/>
        <v>39503.879999999997</v>
      </c>
      <c r="AV65" s="8">
        <f t="shared" si="18"/>
        <v>39503.879999999997</v>
      </c>
      <c r="AW65" s="8" t="str">
        <f t="shared" si="19"/>
        <v/>
      </c>
      <c r="AX65" s="180">
        <f t="shared" si="20"/>
        <v>1.1254666666666666</v>
      </c>
      <c r="AY65" s="146">
        <f t="shared" si="21"/>
        <v>0</v>
      </c>
      <c r="AZ65" s="146">
        <f t="shared" si="22"/>
        <v>0</v>
      </c>
      <c r="BA65" s="22" t="s">
        <v>159</v>
      </c>
      <c r="BB65" s="149"/>
      <c r="BC65" s="149"/>
      <c r="BD65" s="144"/>
      <c r="BE65" s="146" t="str">
        <f t="shared" si="23"/>
        <v/>
      </c>
      <c r="BF65" s="8" t="str">
        <f t="shared" si="24"/>
        <v/>
      </c>
      <c r="BG65" s="8" t="str">
        <f>IF(LEN(BC65)&gt;0,VLOOKUP(BC65,'Job Codes'!B58:I176,7,FALSE),"")</f>
        <v/>
      </c>
      <c r="BH65" s="192" t="str">
        <f>IF(LEN(BC65)&gt;0,VLOOKUP(BC65,'Job Codes'!B58:I176,8,FALSE),"")</f>
        <v/>
      </c>
      <c r="BI65" s="192" t="str">
        <f>IF(LEN(BC65)&gt;0,VLOOKUP(BC65,'Job Codes'!$B$2:$J$120,9,FALSE),"")</f>
        <v/>
      </c>
      <c r="BJ65" s="146" t="str">
        <f>IF(LEN(BC65)&gt;0,VLOOKUP(BC65,'Job Codes'!$B$2:$I$120,4,FALSE),"")</f>
        <v/>
      </c>
      <c r="BK65" s="146" t="str">
        <f>IF(LEN(BC65)&gt;0,VLOOKUP(BC65,'Job Codes'!$B$2:$I$120,5,FALSE),"")</f>
        <v/>
      </c>
      <c r="BL65" s="146" t="str">
        <f>IF(LEN(BC65)&gt;0,VLOOKUP(BC65,'Job Codes'!$B$2:$I$120,6,FALSE),"")</f>
        <v/>
      </c>
      <c r="BM65" s="168">
        <f t="shared" si="25"/>
        <v>39503.879999999997</v>
      </c>
      <c r="BN65" s="160">
        <f t="shared" si="26"/>
        <v>39503.879999999997</v>
      </c>
      <c r="BO65" s="22" t="s">
        <v>157</v>
      </c>
      <c r="BP65" s="157">
        <f>VLOOKUP(I65,'Job Codes'!$B$2:$I$120,8,FALSE)</f>
        <v>0.05</v>
      </c>
      <c r="BQ65" s="25" t="str">
        <f>IF(O65&gt;Data!$H$33,"Yes","No")</f>
        <v>No</v>
      </c>
      <c r="BR65" s="191">
        <v>0.05</v>
      </c>
      <c r="BS65" s="150">
        <f t="shared" si="27"/>
        <v>1908.4</v>
      </c>
      <c r="BT65" s="25">
        <f t="shared" si="28"/>
        <v>1908.4</v>
      </c>
      <c r="BU65" s="161">
        <v>1</v>
      </c>
      <c r="BV65" s="168">
        <f t="shared" si="29"/>
        <v>1908.4</v>
      </c>
      <c r="BW65" s="160">
        <f t="shared" si="30"/>
        <v>1908.4</v>
      </c>
      <c r="BX65" s="149"/>
      <c r="BY65" s="32">
        <f t="shared" si="31"/>
        <v>0</v>
      </c>
      <c r="BZ65" s="22" t="s">
        <v>159</v>
      </c>
      <c r="CA65" s="231">
        <f>VLOOKUP(I65,'Job Codes'!$B$2:$J$120,9,FALSE)</f>
        <v>0</v>
      </c>
      <c r="CB65" s="253">
        <f t="shared" si="32"/>
        <v>0</v>
      </c>
      <c r="CC65" s="72"/>
      <c r="CD65" s="25" t="str">
        <f t="shared" si="33"/>
        <v>Exceeds</v>
      </c>
      <c r="CE65" s="27"/>
      <c r="CF65" s="27"/>
      <c r="CG65" s="27"/>
      <c r="CH65" s="27"/>
      <c r="CI65" s="27"/>
      <c r="CJ65" s="3">
        <v>20714</v>
      </c>
      <c r="CK65" s="3" t="s">
        <v>198</v>
      </c>
      <c r="CL65" s="3">
        <v>4569</v>
      </c>
      <c r="CM65" s="3" t="s">
        <v>161</v>
      </c>
      <c r="CN65" s="3">
        <v>4571</v>
      </c>
      <c r="CO65" s="3" t="s">
        <v>162</v>
      </c>
      <c r="CP65" s="3">
        <v>12345</v>
      </c>
      <c r="CQ65" s="3" t="s">
        <v>163</v>
      </c>
      <c r="CR65" s="246" t="s">
        <v>166</v>
      </c>
      <c r="CS65" s="247" t="s">
        <v>167</v>
      </c>
      <c r="CT65" s="246" t="s">
        <v>199</v>
      </c>
      <c r="CU65" s="247" t="s">
        <v>200</v>
      </c>
      <c r="CV65" s="3" t="str">
        <f t="shared" si="34"/>
        <v>99485;36523</v>
      </c>
      <c r="CW65" s="3" t="s">
        <v>168</v>
      </c>
      <c r="CX65" s="3" t="str">
        <f t="shared" si="35"/>
        <v>AB65;;BB65:BD65;;CC65</v>
      </c>
      <c r="CY65" s="5" t="str">
        <f t="shared" si="36"/>
        <v>Unlock</v>
      </c>
      <c r="CZ65" s="5" t="str">
        <f t="shared" si="37"/>
        <v>Lock</v>
      </c>
      <c r="DA65" s="5" t="str">
        <f t="shared" si="38"/>
        <v>Lock</v>
      </c>
      <c r="DB65" s="5" t="str">
        <f t="shared" si="39"/>
        <v>Lock</v>
      </c>
      <c r="DC65" s="5" t="str">
        <f t="shared" si="40"/>
        <v>Lock</v>
      </c>
      <c r="DD65" s="78">
        <f t="shared" si="41"/>
        <v>2</v>
      </c>
      <c r="DE65" s="2"/>
      <c r="DF65" s="2"/>
      <c r="DG65" s="2"/>
      <c r="DH65" s="2"/>
      <c r="DI65" s="2"/>
      <c r="DJ65" s="2"/>
      <c r="DK65" s="5"/>
      <c r="DL65" s="2"/>
      <c r="DM65" s="2"/>
      <c r="DN65" s="2"/>
      <c r="DO65" s="2"/>
      <c r="DP65" s="2"/>
      <c r="DQ65" s="2"/>
      <c r="DR65" s="2"/>
      <c r="DS65" s="2"/>
      <c r="DT65" s="2"/>
      <c r="DU65" s="2"/>
      <c r="DV65" s="2"/>
      <c r="DW65" s="2"/>
      <c r="DX65" s="2"/>
      <c r="DY65" s="2"/>
      <c r="DZ65" s="2"/>
      <c r="EA65" s="2"/>
      <c r="EB65" s="2"/>
      <c r="EC65" s="2"/>
      <c r="ED65" s="2"/>
      <c r="EE65" s="2"/>
      <c r="EF65" s="1"/>
      <c r="EG65" s="98"/>
      <c r="EH65" s="98"/>
      <c r="EI65" s="1"/>
      <c r="EJ65" s="1"/>
      <c r="EK65" s="98"/>
      <c r="EL65" s="1"/>
    </row>
    <row r="66" spans="1:142">
      <c r="A66" s="32">
        <f t="shared" si="0"/>
        <v>3284</v>
      </c>
      <c r="B66" s="3" t="str">
        <f t="shared" si="1"/>
        <v>sv_statement//Statement//Export Statement&amp;PDFID=Eric Barros_3284&amp;SO=Y</v>
      </c>
      <c r="C66" s="5" t="str">
        <f t="shared" si="42"/>
        <v>Statement</v>
      </c>
      <c r="D66" s="5" t="str">
        <f t="shared" si="2"/>
        <v>Eric Barros_3284</v>
      </c>
      <c r="E66" s="5"/>
      <c r="F66" s="5">
        <v>3284</v>
      </c>
      <c r="G66" s="22" t="s">
        <v>299</v>
      </c>
      <c r="H66" s="5" t="s">
        <v>214</v>
      </c>
      <c r="I66" s="5" t="s">
        <v>219</v>
      </c>
      <c r="J66" s="5" t="s">
        <v>208</v>
      </c>
      <c r="K66" s="5" t="s">
        <v>209</v>
      </c>
      <c r="L66" s="31">
        <f t="shared" si="3"/>
        <v>20714</v>
      </c>
      <c r="M66" s="5" t="s">
        <v>198</v>
      </c>
      <c r="N66" s="22" t="s">
        <v>155</v>
      </c>
      <c r="O66" s="100">
        <v>37291</v>
      </c>
      <c r="P66" s="146">
        <f>VLOOKUP(I66,'Job Codes'!$B$2:$I$120,4,FALSE)</f>
        <v>29000</v>
      </c>
      <c r="Q66" s="146">
        <f>VLOOKUP(I66,'Job Codes'!$B$2:$I$120,5,FALSE)</f>
        <v>37700</v>
      </c>
      <c r="R66" s="146">
        <f>VLOOKUP(I66,'Job Codes'!$B$2:$I$120,6,FALSE)</f>
        <v>45240</v>
      </c>
      <c r="S66" s="22" t="s">
        <v>171</v>
      </c>
      <c r="T66" s="146">
        <v>33072</v>
      </c>
      <c r="U66" s="8">
        <f>VLOOKUP(S66,Data!$H$22:$I$25,2,FALSE)*T66</f>
        <v>33072</v>
      </c>
      <c r="V66" s="180">
        <f t="shared" si="4"/>
        <v>0.87724137931034485</v>
      </c>
      <c r="W66" s="180">
        <f t="shared" si="5"/>
        <v>0.13993710691823899</v>
      </c>
      <c r="X66" s="22" t="str">
        <f t="shared" si="6"/>
        <v>Yes</v>
      </c>
      <c r="Y66" s="180">
        <f t="shared" si="7"/>
        <v>0.02</v>
      </c>
      <c r="Z66" s="146">
        <f t="shared" si="8"/>
        <v>661.44</v>
      </c>
      <c r="AA66" s="146">
        <f t="shared" si="9"/>
        <v>661.44</v>
      </c>
      <c r="AB66" s="72"/>
      <c r="AC66" s="146">
        <f>AB66/VLOOKUP(S66,Data!$H$22:$I$25,2,FALSE)</f>
        <v>0</v>
      </c>
      <c r="AD66" s="22" t="s">
        <v>157</v>
      </c>
      <c r="AE66" s="146">
        <f>VLOOKUP(S66,Data!$H$22:$J$25,3,FALSE)*T66</f>
        <v>992.16</v>
      </c>
      <c r="AF66" s="8">
        <f>VLOOKUP(S66,Data!$H$22:$I$25,2,FALSE)*AE66</f>
        <v>992.16</v>
      </c>
      <c r="AG66" s="8" t="s">
        <v>178</v>
      </c>
      <c r="AH66" s="23">
        <v>2.5000000000000001E-2</v>
      </c>
      <c r="AI66" s="72"/>
      <c r="AJ66" s="159">
        <f t="shared" si="10"/>
        <v>2.5000000000000001E-2</v>
      </c>
      <c r="AK66" s="168">
        <f t="shared" si="43"/>
        <v>826.80000000000007</v>
      </c>
      <c r="AL66" s="160">
        <f t="shared" si="44"/>
        <v>826.80000000000007</v>
      </c>
      <c r="AM66" s="168">
        <f t="shared" si="11"/>
        <v>33898.800000000003</v>
      </c>
      <c r="AN66" s="160">
        <f t="shared" si="12"/>
        <v>33898.800000000003</v>
      </c>
      <c r="AO66" s="160" t="str">
        <f t="shared" si="45"/>
        <v>No</v>
      </c>
      <c r="AP66" s="146">
        <f>IF(AQ66=0,0,AQ66/VLOOKUP(S66,Data!$H$22:$I$25,2,FALSE))</f>
        <v>0</v>
      </c>
      <c r="AQ66" s="183">
        <f t="shared" si="13"/>
        <v>0</v>
      </c>
      <c r="AR66" s="165">
        <f t="shared" si="14"/>
        <v>826.80000000000007</v>
      </c>
      <c r="AS66" s="183">
        <f t="shared" si="15"/>
        <v>826.80000000000007</v>
      </c>
      <c r="AT66" s="250">
        <f t="shared" si="16"/>
        <v>2.5000000000000001E-2</v>
      </c>
      <c r="AU66" s="146">
        <f t="shared" si="17"/>
        <v>33898.800000000003</v>
      </c>
      <c r="AV66" s="8">
        <f t="shared" si="18"/>
        <v>33898.800000000003</v>
      </c>
      <c r="AW66" s="8" t="str">
        <f t="shared" si="19"/>
        <v/>
      </c>
      <c r="AX66" s="180">
        <f t="shared" si="20"/>
        <v>0.89917241379310353</v>
      </c>
      <c r="AY66" s="146">
        <f t="shared" si="21"/>
        <v>0</v>
      </c>
      <c r="AZ66" s="146">
        <f t="shared" si="22"/>
        <v>0</v>
      </c>
      <c r="BA66" s="22" t="s">
        <v>159</v>
      </c>
      <c r="BB66" s="149"/>
      <c r="BC66" s="149"/>
      <c r="BD66" s="144"/>
      <c r="BE66" s="146" t="str">
        <f t="shared" si="23"/>
        <v/>
      </c>
      <c r="BF66" s="8" t="str">
        <f t="shared" si="24"/>
        <v/>
      </c>
      <c r="BG66" s="8" t="str">
        <f>IF(LEN(BC66)&gt;0,VLOOKUP(BC66,'Job Codes'!B59:I177,7,FALSE),"")</f>
        <v/>
      </c>
      <c r="BH66" s="192" t="str">
        <f>IF(LEN(BC66)&gt;0,VLOOKUP(BC66,'Job Codes'!B59:I177,8,FALSE),"")</f>
        <v/>
      </c>
      <c r="BI66" s="192" t="str">
        <f>IF(LEN(BC66)&gt;0,VLOOKUP(BC66,'Job Codes'!$B$2:$J$120,9,FALSE),"")</f>
        <v/>
      </c>
      <c r="BJ66" s="146" t="str">
        <f>IF(LEN(BC66)&gt;0,VLOOKUP(BC66,'Job Codes'!$B$2:$I$120,4,FALSE),"")</f>
        <v/>
      </c>
      <c r="BK66" s="146" t="str">
        <f>IF(LEN(BC66)&gt;0,VLOOKUP(BC66,'Job Codes'!$B$2:$I$120,5,FALSE),"")</f>
        <v/>
      </c>
      <c r="BL66" s="146" t="str">
        <f>IF(LEN(BC66)&gt;0,VLOOKUP(BC66,'Job Codes'!$B$2:$I$120,6,FALSE),"")</f>
        <v/>
      </c>
      <c r="BM66" s="168">
        <f t="shared" si="25"/>
        <v>33898.800000000003</v>
      </c>
      <c r="BN66" s="160">
        <f t="shared" si="26"/>
        <v>33898.800000000003</v>
      </c>
      <c r="BO66" s="22" t="s">
        <v>157</v>
      </c>
      <c r="BP66" s="157">
        <f>VLOOKUP(I66,'Job Codes'!$B$2:$I$120,8,FALSE)</f>
        <v>0.1</v>
      </c>
      <c r="BQ66" s="25" t="str">
        <f>IF(O66&gt;Data!$H$33,"Yes","No")</f>
        <v>No</v>
      </c>
      <c r="BR66" s="191">
        <v>0.1</v>
      </c>
      <c r="BS66" s="150">
        <f t="shared" si="27"/>
        <v>3307.2000000000003</v>
      </c>
      <c r="BT66" s="25">
        <f t="shared" si="28"/>
        <v>3307.2000000000003</v>
      </c>
      <c r="BU66" s="161">
        <v>1</v>
      </c>
      <c r="BV66" s="168">
        <f t="shared" si="29"/>
        <v>3307.2000000000003</v>
      </c>
      <c r="BW66" s="160">
        <f t="shared" si="30"/>
        <v>3307.2000000000003</v>
      </c>
      <c r="BX66" s="149"/>
      <c r="BY66" s="32">
        <f t="shared" si="31"/>
        <v>0</v>
      </c>
      <c r="BZ66" s="22" t="s">
        <v>157</v>
      </c>
      <c r="CA66" s="231">
        <f>VLOOKUP(I66,'Job Codes'!$B$2:$J$120,9,FALSE)</f>
        <v>0.05</v>
      </c>
      <c r="CB66" s="253">
        <f t="shared" si="32"/>
        <v>1653.6000000000001</v>
      </c>
      <c r="CC66" s="72"/>
      <c r="CD66" s="25" t="str">
        <f t="shared" si="33"/>
        <v>Meets</v>
      </c>
      <c r="CE66" s="27"/>
      <c r="CF66" s="27"/>
      <c r="CG66" s="27"/>
      <c r="CH66" s="27"/>
      <c r="CI66" s="27"/>
      <c r="CJ66" s="3"/>
      <c r="CK66" s="3"/>
      <c r="CL66" s="3">
        <v>4569</v>
      </c>
      <c r="CM66" s="3" t="s">
        <v>161</v>
      </c>
      <c r="CN66" s="3">
        <v>4571</v>
      </c>
      <c r="CO66" s="3" t="s">
        <v>162</v>
      </c>
      <c r="CP66" s="3">
        <v>12345</v>
      </c>
      <c r="CQ66" s="3" t="s">
        <v>163</v>
      </c>
      <c r="CR66" s="246" t="s">
        <v>164</v>
      </c>
      <c r="CS66" s="247" t="s">
        <v>165</v>
      </c>
      <c r="CT66" s="246" t="s">
        <v>166</v>
      </c>
      <c r="CU66" s="247" t="s">
        <v>167</v>
      </c>
      <c r="CV66" s="3" t="str">
        <f t="shared" si="34"/>
        <v>67890;99485</v>
      </c>
      <c r="CW66" s="3" t="s">
        <v>168</v>
      </c>
      <c r="CX66" s="3" t="str">
        <f t="shared" si="35"/>
        <v>;;BB66:BD66;;</v>
      </c>
      <c r="CY66" s="5" t="str">
        <f t="shared" si="36"/>
        <v>Unlock</v>
      </c>
      <c r="CZ66" s="5" t="str">
        <f t="shared" si="37"/>
        <v>Lock</v>
      </c>
      <c r="DA66" s="5" t="str">
        <f t="shared" si="38"/>
        <v>Lock</v>
      </c>
      <c r="DB66" s="5" t="str">
        <f t="shared" si="39"/>
        <v>Lock</v>
      </c>
      <c r="DC66" s="5" t="str">
        <f t="shared" si="40"/>
        <v>Lock</v>
      </c>
      <c r="DD66" s="78">
        <f t="shared" si="41"/>
        <v>3</v>
      </c>
      <c r="DE66" s="2"/>
      <c r="DF66" s="2"/>
      <c r="DG66" s="2"/>
      <c r="DH66" s="2"/>
      <c r="DI66" s="2"/>
      <c r="DJ66" s="2"/>
      <c r="DK66" s="5"/>
      <c r="DL66" s="2"/>
      <c r="DM66" s="2"/>
      <c r="DN66" s="2"/>
      <c r="DO66" s="2"/>
      <c r="DP66" s="2"/>
      <c r="DQ66" s="2"/>
      <c r="DR66" s="2"/>
      <c r="DS66" s="2"/>
      <c r="DT66" s="2"/>
      <c r="DU66" s="2"/>
      <c r="DV66" s="2"/>
      <c r="DW66" s="2"/>
      <c r="DX66" s="2"/>
      <c r="DY66" s="2"/>
      <c r="DZ66" s="2"/>
      <c r="EA66" s="2"/>
      <c r="EB66" s="2"/>
      <c r="EC66" s="2"/>
      <c r="ED66" s="2"/>
      <c r="EE66" s="2"/>
      <c r="EF66" s="1"/>
      <c r="EG66" s="98"/>
      <c r="EH66" s="98"/>
      <c r="EI66" s="1"/>
      <c r="EJ66" s="1"/>
      <c r="EK66" s="98"/>
      <c r="EL66" s="1"/>
    </row>
    <row r="67" spans="1:142">
      <c r="A67" s="32">
        <f t="shared" si="0"/>
        <v>3300</v>
      </c>
      <c r="B67" s="3" t="str">
        <f t="shared" si="1"/>
        <v>sv_statement//Statement//Export Statement&amp;PDFID=Paul Raley_3300&amp;SO=Y</v>
      </c>
      <c r="C67" s="5" t="str">
        <f t="shared" si="42"/>
        <v>Statement</v>
      </c>
      <c r="D67" s="5" t="str">
        <f t="shared" si="2"/>
        <v>Paul Raley_3300</v>
      </c>
      <c r="E67" s="5"/>
      <c r="F67" s="5">
        <v>3300</v>
      </c>
      <c r="G67" s="22" t="s">
        <v>300</v>
      </c>
      <c r="H67" s="5" t="s">
        <v>214</v>
      </c>
      <c r="I67" s="5" t="s">
        <v>283</v>
      </c>
      <c r="J67" s="5" t="s">
        <v>208</v>
      </c>
      <c r="K67" s="5" t="s">
        <v>211</v>
      </c>
      <c r="L67" s="31">
        <f t="shared" si="3"/>
        <v>11498</v>
      </c>
      <c r="M67" s="5" t="s">
        <v>197</v>
      </c>
      <c r="N67" s="22" t="s">
        <v>155</v>
      </c>
      <c r="O67" s="100">
        <v>37287</v>
      </c>
      <c r="P67" s="146">
        <f>VLOOKUP(I67,'Job Codes'!$B$2:$I$120,4,FALSE)</f>
        <v>27000</v>
      </c>
      <c r="Q67" s="146">
        <f>VLOOKUP(I67,'Job Codes'!$B$2:$I$120,5,FALSE)</f>
        <v>35100</v>
      </c>
      <c r="R67" s="146">
        <f>VLOOKUP(I67,'Job Codes'!$B$2:$I$120,6,FALSE)</f>
        <v>42120</v>
      </c>
      <c r="S67" s="22" t="s">
        <v>171</v>
      </c>
      <c r="T67" s="146">
        <v>32781</v>
      </c>
      <c r="U67" s="8">
        <f>VLOOKUP(S67,Data!$H$22:$I$25,2,FALSE)*T67</f>
        <v>32781</v>
      </c>
      <c r="V67" s="180">
        <f t="shared" si="4"/>
        <v>0.93393162393162388</v>
      </c>
      <c r="W67" s="180">
        <f t="shared" si="5"/>
        <v>7.0742198224581318E-2</v>
      </c>
      <c r="X67" s="22" t="str">
        <f t="shared" si="6"/>
        <v>Yes</v>
      </c>
      <c r="Y67" s="180">
        <f t="shared" si="7"/>
        <v>0.02</v>
      </c>
      <c r="Z67" s="146">
        <f t="shared" si="8"/>
        <v>655.62</v>
      </c>
      <c r="AA67" s="146">
        <f t="shared" si="9"/>
        <v>655.62</v>
      </c>
      <c r="AB67" s="72"/>
      <c r="AC67" s="146">
        <f>AB67/VLOOKUP(S67,Data!$H$22:$I$25,2,FALSE)</f>
        <v>0</v>
      </c>
      <c r="AD67" s="22" t="s">
        <v>157</v>
      </c>
      <c r="AE67" s="146">
        <f>VLOOKUP(S67,Data!$H$22:$J$25,3,FALSE)*T67</f>
        <v>983.43</v>
      </c>
      <c r="AF67" s="8">
        <f>VLOOKUP(S67,Data!$H$22:$I$25,2,FALSE)*AE67</f>
        <v>983.43</v>
      </c>
      <c r="AG67" s="8" t="s">
        <v>178</v>
      </c>
      <c r="AH67" s="23">
        <v>2.5000000000000001E-2</v>
      </c>
      <c r="AI67" s="72"/>
      <c r="AJ67" s="159">
        <f t="shared" si="10"/>
        <v>2.5000000000000001E-2</v>
      </c>
      <c r="AK67" s="168">
        <f t="shared" si="43"/>
        <v>819.52500000000009</v>
      </c>
      <c r="AL67" s="160">
        <f t="shared" si="44"/>
        <v>819.52500000000009</v>
      </c>
      <c r="AM67" s="168">
        <f t="shared" si="11"/>
        <v>33600.525000000001</v>
      </c>
      <c r="AN67" s="160">
        <f t="shared" si="12"/>
        <v>33600.525000000001</v>
      </c>
      <c r="AO67" s="160" t="str">
        <f t="shared" si="45"/>
        <v>No</v>
      </c>
      <c r="AP67" s="146">
        <f>IF(AQ67=0,0,AQ67/VLOOKUP(S67,Data!$H$22:$I$25,2,FALSE))</f>
        <v>0</v>
      </c>
      <c r="AQ67" s="183">
        <f t="shared" si="13"/>
        <v>0</v>
      </c>
      <c r="AR67" s="165">
        <f t="shared" si="14"/>
        <v>819.52500000000009</v>
      </c>
      <c r="AS67" s="183">
        <f t="shared" si="15"/>
        <v>819.52500000000009</v>
      </c>
      <c r="AT67" s="250">
        <f t="shared" si="16"/>
        <v>2.5000000000000001E-2</v>
      </c>
      <c r="AU67" s="146">
        <f t="shared" si="17"/>
        <v>33600.525000000001</v>
      </c>
      <c r="AV67" s="8">
        <f t="shared" si="18"/>
        <v>33600.525000000001</v>
      </c>
      <c r="AW67" s="8" t="str">
        <f t="shared" si="19"/>
        <v/>
      </c>
      <c r="AX67" s="180">
        <f t="shared" si="20"/>
        <v>0.95727991452991457</v>
      </c>
      <c r="AY67" s="146">
        <f t="shared" si="21"/>
        <v>0</v>
      </c>
      <c r="AZ67" s="146">
        <f t="shared" si="22"/>
        <v>0</v>
      </c>
      <c r="BA67" s="22" t="s">
        <v>159</v>
      </c>
      <c r="BB67" s="149"/>
      <c r="BC67" s="149"/>
      <c r="BD67" s="144"/>
      <c r="BE67" s="146" t="str">
        <f t="shared" si="23"/>
        <v/>
      </c>
      <c r="BF67" s="8" t="str">
        <f t="shared" si="24"/>
        <v/>
      </c>
      <c r="BG67" s="8" t="str">
        <f>IF(LEN(BC67)&gt;0,VLOOKUP(BC67,'Job Codes'!B60:I178,7,FALSE),"")</f>
        <v/>
      </c>
      <c r="BH67" s="192" t="str">
        <f>IF(LEN(BC67)&gt;0,VLOOKUP(BC67,'Job Codes'!B60:I178,8,FALSE),"")</f>
        <v/>
      </c>
      <c r="BI67" s="192" t="str">
        <f>IF(LEN(BC67)&gt;0,VLOOKUP(BC67,'Job Codes'!$B$2:$J$120,9,FALSE),"")</f>
        <v/>
      </c>
      <c r="BJ67" s="146" t="str">
        <f>IF(LEN(BC67)&gt;0,VLOOKUP(BC67,'Job Codes'!$B$2:$I$120,4,FALSE),"")</f>
        <v/>
      </c>
      <c r="BK67" s="146" t="str">
        <f>IF(LEN(BC67)&gt;0,VLOOKUP(BC67,'Job Codes'!$B$2:$I$120,5,FALSE),"")</f>
        <v/>
      </c>
      <c r="BL67" s="146" t="str">
        <f>IF(LEN(BC67)&gt;0,VLOOKUP(BC67,'Job Codes'!$B$2:$I$120,6,FALSE),"")</f>
        <v/>
      </c>
      <c r="BM67" s="168">
        <f t="shared" si="25"/>
        <v>33600.525000000001</v>
      </c>
      <c r="BN67" s="160">
        <f t="shared" si="26"/>
        <v>33600.525000000001</v>
      </c>
      <c r="BO67" s="22" t="s">
        <v>157</v>
      </c>
      <c r="BP67" s="157">
        <f>VLOOKUP(I67,'Job Codes'!$B$2:$I$120,8,FALSE)</f>
        <v>0.05</v>
      </c>
      <c r="BQ67" s="25" t="str">
        <f>IF(O67&gt;Data!$H$33,"Yes","No")</f>
        <v>No</v>
      </c>
      <c r="BR67" s="191">
        <v>0.05</v>
      </c>
      <c r="BS67" s="150">
        <f t="shared" si="27"/>
        <v>1639.0500000000002</v>
      </c>
      <c r="BT67" s="25">
        <f t="shared" si="28"/>
        <v>1639.0500000000002</v>
      </c>
      <c r="BU67" s="161">
        <v>1</v>
      </c>
      <c r="BV67" s="168">
        <f t="shared" si="29"/>
        <v>1639.0500000000002</v>
      </c>
      <c r="BW67" s="160">
        <f t="shared" si="30"/>
        <v>1639.0500000000002</v>
      </c>
      <c r="BX67" s="149"/>
      <c r="BY67" s="32">
        <f t="shared" si="31"/>
        <v>0</v>
      </c>
      <c r="BZ67" s="22" t="s">
        <v>159</v>
      </c>
      <c r="CA67" s="231">
        <f>VLOOKUP(I67,'Job Codes'!$B$2:$J$120,9,FALSE)</f>
        <v>0</v>
      </c>
      <c r="CB67" s="253">
        <f t="shared" si="32"/>
        <v>0</v>
      </c>
      <c r="CC67" s="72"/>
      <c r="CD67" s="25" t="str">
        <f t="shared" si="33"/>
        <v>Meets</v>
      </c>
      <c r="CE67" s="27"/>
      <c r="CF67" s="27"/>
      <c r="CG67" s="27"/>
      <c r="CH67" s="27"/>
      <c r="CI67" s="27"/>
      <c r="CJ67" s="3">
        <v>20714</v>
      </c>
      <c r="CK67" s="3" t="s">
        <v>198</v>
      </c>
      <c r="CL67" s="3">
        <v>4569</v>
      </c>
      <c r="CM67" s="3" t="s">
        <v>161</v>
      </c>
      <c r="CN67" s="3">
        <v>4571</v>
      </c>
      <c r="CO67" s="3" t="s">
        <v>162</v>
      </c>
      <c r="CP67" s="3">
        <v>12345</v>
      </c>
      <c r="CQ67" s="3" t="s">
        <v>163</v>
      </c>
      <c r="CR67" s="246" t="s">
        <v>166</v>
      </c>
      <c r="CS67" s="247" t="s">
        <v>167</v>
      </c>
      <c r="CT67" s="246" t="s">
        <v>199</v>
      </c>
      <c r="CU67" s="247" t="s">
        <v>200</v>
      </c>
      <c r="CV67" s="3" t="str">
        <f t="shared" si="34"/>
        <v>99485;36523</v>
      </c>
      <c r="CW67" s="3" t="s">
        <v>168</v>
      </c>
      <c r="CX67" s="3" t="str">
        <f t="shared" si="35"/>
        <v>;;BB67:BD67;;CC67</v>
      </c>
      <c r="CY67" s="5" t="str">
        <f t="shared" si="36"/>
        <v>Unlock</v>
      </c>
      <c r="CZ67" s="5" t="str">
        <f t="shared" si="37"/>
        <v>Lock</v>
      </c>
      <c r="DA67" s="5" t="str">
        <f t="shared" si="38"/>
        <v>Lock</v>
      </c>
      <c r="DB67" s="5" t="str">
        <f t="shared" si="39"/>
        <v>Lock</v>
      </c>
      <c r="DC67" s="5" t="str">
        <f t="shared" si="40"/>
        <v>Lock</v>
      </c>
      <c r="DD67" s="78">
        <f t="shared" si="41"/>
        <v>2</v>
      </c>
      <c r="DE67" s="2"/>
      <c r="DF67" s="2"/>
      <c r="DG67" s="2"/>
      <c r="DH67" s="2"/>
      <c r="DI67" s="2"/>
      <c r="DJ67" s="2"/>
      <c r="DK67" s="5"/>
      <c r="DL67" s="2"/>
      <c r="DM67" s="2"/>
      <c r="DN67" s="2"/>
      <c r="DO67" s="2"/>
      <c r="DP67" s="2"/>
      <c r="DQ67" s="2"/>
      <c r="DR67" s="2"/>
      <c r="DS67" s="2"/>
      <c r="DT67" s="2"/>
      <c r="DU67" s="2"/>
      <c r="DV67" s="2"/>
      <c r="DW67" s="2"/>
      <c r="DX67" s="2"/>
      <c r="DY67" s="2"/>
      <c r="DZ67" s="2"/>
      <c r="EA67" s="2"/>
      <c r="EB67" s="2"/>
      <c r="EC67" s="2"/>
      <c r="ED67" s="2"/>
      <c r="EE67" s="2"/>
      <c r="EF67" s="1"/>
      <c r="EG67" s="98"/>
      <c r="EH67" s="98"/>
      <c r="EI67" s="1"/>
      <c r="EJ67" s="1"/>
      <c r="EK67" s="98"/>
      <c r="EL67" s="1"/>
    </row>
    <row r="68" spans="1:142">
      <c r="A68" s="32">
        <f t="shared" si="0"/>
        <v>3343</v>
      </c>
      <c r="B68" s="3" t="str">
        <f t="shared" si="1"/>
        <v>sv_statement//Statement//Export Statement&amp;PDFID=Leonard Lennox_3343&amp;SO=Y</v>
      </c>
      <c r="C68" s="5" t="str">
        <f t="shared" si="42"/>
        <v>Statement</v>
      </c>
      <c r="D68" s="5" t="str">
        <f t="shared" si="2"/>
        <v>Leonard Lennox_3343</v>
      </c>
      <c r="E68" s="5"/>
      <c r="F68" s="5">
        <v>3343</v>
      </c>
      <c r="G68" s="22" t="s">
        <v>301</v>
      </c>
      <c r="H68" s="5" t="s">
        <v>214</v>
      </c>
      <c r="I68" s="5" t="s">
        <v>217</v>
      </c>
      <c r="J68" s="5" t="s">
        <v>208</v>
      </c>
      <c r="K68" s="5" t="s">
        <v>211</v>
      </c>
      <c r="L68" s="31">
        <f t="shared" si="3"/>
        <v>11498</v>
      </c>
      <c r="M68" s="5" t="s">
        <v>197</v>
      </c>
      <c r="N68" s="22" t="s">
        <v>155</v>
      </c>
      <c r="O68" s="100">
        <v>37258</v>
      </c>
      <c r="P68" s="146">
        <f>VLOOKUP(I68,'Job Codes'!$B$2:$I$120,4,FALSE)</f>
        <v>33000</v>
      </c>
      <c r="Q68" s="146">
        <f>VLOOKUP(I68,'Job Codes'!$B$2:$I$120,5,FALSE)</f>
        <v>42900</v>
      </c>
      <c r="R68" s="146">
        <f>VLOOKUP(I68,'Job Codes'!$B$2:$I$120,6,FALSE)</f>
        <v>51480</v>
      </c>
      <c r="S68" s="22" t="s">
        <v>171</v>
      </c>
      <c r="T68" s="146">
        <v>32531</v>
      </c>
      <c r="U68" s="8">
        <f>VLOOKUP(S68,Data!$H$22:$I$25,2,FALSE)*T68</f>
        <v>32531</v>
      </c>
      <c r="V68" s="180">
        <f t="shared" si="4"/>
        <v>0.75829836829836827</v>
      </c>
      <c r="W68" s="180">
        <f t="shared" si="5"/>
        <v>0.31874212289815868</v>
      </c>
      <c r="X68" s="22" t="str">
        <f t="shared" si="6"/>
        <v>Yes</v>
      </c>
      <c r="Y68" s="180">
        <f t="shared" si="7"/>
        <v>0.02</v>
      </c>
      <c r="Z68" s="146">
        <f t="shared" si="8"/>
        <v>650.62</v>
      </c>
      <c r="AA68" s="146">
        <f t="shared" si="9"/>
        <v>650.62</v>
      </c>
      <c r="AB68" s="72"/>
      <c r="AC68" s="146">
        <f>AB68/VLOOKUP(S68,Data!$H$22:$I$25,2,FALSE)</f>
        <v>0</v>
      </c>
      <c r="AD68" s="22" t="s">
        <v>157</v>
      </c>
      <c r="AE68" s="146">
        <f>VLOOKUP(S68,Data!$H$22:$J$25,3,FALSE)*T68</f>
        <v>975.93</v>
      </c>
      <c r="AF68" s="8">
        <f>VLOOKUP(S68,Data!$H$22:$I$25,2,FALSE)*AE68</f>
        <v>975.93</v>
      </c>
      <c r="AG68" s="8" t="s">
        <v>178</v>
      </c>
      <c r="AH68" s="23">
        <v>2.5000000000000001E-2</v>
      </c>
      <c r="AI68" s="72"/>
      <c r="AJ68" s="159">
        <f t="shared" si="10"/>
        <v>2.5000000000000001E-2</v>
      </c>
      <c r="AK68" s="168">
        <f t="shared" si="43"/>
        <v>813.27500000000009</v>
      </c>
      <c r="AL68" s="160">
        <f t="shared" si="44"/>
        <v>813.27500000000009</v>
      </c>
      <c r="AM68" s="168">
        <f t="shared" si="11"/>
        <v>33344.275000000001</v>
      </c>
      <c r="AN68" s="160">
        <f t="shared" si="12"/>
        <v>33344.275000000001</v>
      </c>
      <c r="AO68" s="160" t="str">
        <f t="shared" si="45"/>
        <v>No</v>
      </c>
      <c r="AP68" s="146">
        <f>IF(AQ68=0,0,AQ68/VLOOKUP(S68,Data!$H$22:$I$25,2,FALSE))</f>
        <v>0</v>
      </c>
      <c r="AQ68" s="183">
        <f t="shared" si="13"/>
        <v>0</v>
      </c>
      <c r="AR68" s="165">
        <f t="shared" si="14"/>
        <v>813.27500000000009</v>
      </c>
      <c r="AS68" s="183">
        <f t="shared" si="15"/>
        <v>813.27500000000009</v>
      </c>
      <c r="AT68" s="250">
        <f t="shared" si="16"/>
        <v>2.5000000000000001E-2</v>
      </c>
      <c r="AU68" s="146">
        <f t="shared" si="17"/>
        <v>33344.275000000001</v>
      </c>
      <c r="AV68" s="8">
        <f t="shared" si="18"/>
        <v>33344.275000000001</v>
      </c>
      <c r="AW68" s="8" t="str">
        <f t="shared" si="19"/>
        <v/>
      </c>
      <c r="AX68" s="180">
        <f t="shared" si="20"/>
        <v>0.77725582750582756</v>
      </c>
      <c r="AY68" s="146">
        <f t="shared" si="21"/>
        <v>0</v>
      </c>
      <c r="AZ68" s="146">
        <f t="shared" si="22"/>
        <v>0</v>
      </c>
      <c r="BA68" s="22" t="s">
        <v>159</v>
      </c>
      <c r="BB68" s="149"/>
      <c r="BC68" s="149"/>
      <c r="BD68" s="144"/>
      <c r="BE68" s="146" t="str">
        <f t="shared" si="23"/>
        <v/>
      </c>
      <c r="BF68" s="8" t="str">
        <f t="shared" si="24"/>
        <v/>
      </c>
      <c r="BG68" s="8" t="str">
        <f>IF(LEN(BC68)&gt;0,VLOOKUP(BC68,'Job Codes'!B61:I179,7,FALSE),"")</f>
        <v/>
      </c>
      <c r="BH68" s="192" t="str">
        <f>IF(LEN(BC68)&gt;0,VLOOKUP(BC68,'Job Codes'!B61:I179,8,FALSE),"")</f>
        <v/>
      </c>
      <c r="BI68" s="192" t="str">
        <f>IF(LEN(BC68)&gt;0,VLOOKUP(BC68,'Job Codes'!$B$2:$J$120,9,FALSE),"")</f>
        <v/>
      </c>
      <c r="BJ68" s="146" t="str">
        <f>IF(LEN(BC68)&gt;0,VLOOKUP(BC68,'Job Codes'!$B$2:$I$120,4,FALSE),"")</f>
        <v/>
      </c>
      <c r="BK68" s="146" t="str">
        <f>IF(LEN(BC68)&gt;0,VLOOKUP(BC68,'Job Codes'!$B$2:$I$120,5,FALSE),"")</f>
        <v/>
      </c>
      <c r="BL68" s="146" t="str">
        <f>IF(LEN(BC68)&gt;0,VLOOKUP(BC68,'Job Codes'!$B$2:$I$120,6,FALSE),"")</f>
        <v/>
      </c>
      <c r="BM68" s="168">
        <f t="shared" si="25"/>
        <v>33344.275000000001</v>
      </c>
      <c r="BN68" s="160">
        <f t="shared" si="26"/>
        <v>33344.275000000001</v>
      </c>
      <c r="BO68" s="22" t="s">
        <v>157</v>
      </c>
      <c r="BP68" s="157">
        <f>VLOOKUP(I68,'Job Codes'!$B$2:$I$120,8,FALSE)</f>
        <v>0.1</v>
      </c>
      <c r="BQ68" s="25" t="str">
        <f>IF(O68&gt;Data!$H$33,"Yes","No")</f>
        <v>No</v>
      </c>
      <c r="BR68" s="191">
        <v>0.1</v>
      </c>
      <c r="BS68" s="150">
        <f t="shared" si="27"/>
        <v>3253.1000000000004</v>
      </c>
      <c r="BT68" s="25">
        <f t="shared" si="28"/>
        <v>3253.1000000000004</v>
      </c>
      <c r="BU68" s="161">
        <v>1</v>
      </c>
      <c r="BV68" s="168">
        <f t="shared" si="29"/>
        <v>3253.1000000000004</v>
      </c>
      <c r="BW68" s="160">
        <f t="shared" si="30"/>
        <v>3253.1000000000004</v>
      </c>
      <c r="BX68" s="149"/>
      <c r="BY68" s="32">
        <f t="shared" si="31"/>
        <v>0</v>
      </c>
      <c r="BZ68" s="22" t="s">
        <v>157</v>
      </c>
      <c r="CA68" s="231">
        <f>VLOOKUP(I68,'Job Codes'!$B$2:$J$120,9,FALSE)</f>
        <v>0.1</v>
      </c>
      <c r="CB68" s="253">
        <f t="shared" si="32"/>
        <v>3253.1000000000004</v>
      </c>
      <c r="CC68" s="72"/>
      <c r="CD68" s="25" t="str">
        <f t="shared" si="33"/>
        <v>Meets</v>
      </c>
      <c r="CE68" s="27"/>
      <c r="CF68" s="27"/>
      <c r="CG68" s="27"/>
      <c r="CH68" s="27"/>
      <c r="CI68" s="27"/>
      <c r="CJ68" s="3">
        <v>20714</v>
      </c>
      <c r="CK68" s="3" t="s">
        <v>198</v>
      </c>
      <c r="CL68" s="3">
        <v>4569</v>
      </c>
      <c r="CM68" s="3" t="s">
        <v>161</v>
      </c>
      <c r="CN68" s="3">
        <v>4571</v>
      </c>
      <c r="CO68" s="3" t="s">
        <v>162</v>
      </c>
      <c r="CP68" s="3">
        <v>12345</v>
      </c>
      <c r="CQ68" s="3" t="s">
        <v>163</v>
      </c>
      <c r="CR68" s="246" t="s">
        <v>166</v>
      </c>
      <c r="CS68" s="247" t="s">
        <v>167</v>
      </c>
      <c r="CT68" s="246" t="s">
        <v>199</v>
      </c>
      <c r="CU68" s="247" t="s">
        <v>200</v>
      </c>
      <c r="CV68" s="3" t="str">
        <f t="shared" si="34"/>
        <v>99485;36523</v>
      </c>
      <c r="CW68" s="3" t="s">
        <v>168</v>
      </c>
      <c r="CX68" s="3" t="str">
        <f t="shared" si="35"/>
        <v>;;BB68:BD68;;</v>
      </c>
      <c r="CY68" s="5" t="str">
        <f t="shared" si="36"/>
        <v>Unlock</v>
      </c>
      <c r="CZ68" s="5" t="str">
        <f t="shared" si="37"/>
        <v>Lock</v>
      </c>
      <c r="DA68" s="5" t="str">
        <f t="shared" si="38"/>
        <v>Lock</v>
      </c>
      <c r="DB68" s="5" t="str">
        <f t="shared" si="39"/>
        <v>Lock</v>
      </c>
      <c r="DC68" s="5" t="str">
        <f t="shared" si="40"/>
        <v>Lock</v>
      </c>
      <c r="DD68" s="78">
        <f t="shared" si="41"/>
        <v>2</v>
      </c>
      <c r="DE68" s="2"/>
      <c r="DF68" s="2"/>
      <c r="DG68" s="2"/>
      <c r="DH68" s="2"/>
      <c r="DI68" s="2"/>
      <c r="DJ68" s="2"/>
      <c r="DK68" s="5"/>
      <c r="DL68" s="2"/>
      <c r="DM68" s="2"/>
      <c r="DN68" s="2"/>
      <c r="DO68" s="2"/>
      <c r="DP68" s="2"/>
      <c r="DQ68" s="2"/>
      <c r="DR68" s="2"/>
      <c r="DS68" s="2"/>
      <c r="DT68" s="2"/>
      <c r="DU68" s="2"/>
      <c r="DV68" s="2"/>
      <c r="DW68" s="2"/>
      <c r="DX68" s="2"/>
      <c r="DY68" s="2"/>
      <c r="DZ68" s="2"/>
      <c r="EA68" s="2"/>
      <c r="EB68" s="2"/>
      <c r="EC68" s="2"/>
      <c r="ED68" s="2"/>
      <c r="EE68" s="2"/>
      <c r="EF68" s="1"/>
      <c r="EG68" s="98"/>
      <c r="EH68" s="98"/>
      <c r="EI68" s="1"/>
      <c r="EJ68" s="1"/>
      <c r="EK68" s="98"/>
      <c r="EL68" s="1"/>
    </row>
    <row r="69" spans="1:142">
      <c r="A69" s="32">
        <f t="shared" si="0"/>
        <v>3351</v>
      </c>
      <c r="B69" s="3" t="str">
        <f t="shared" si="1"/>
        <v>sv_statement//Statement//Export Statement&amp;PDFID=Aaron Slone_3351&amp;SO=Y</v>
      </c>
      <c r="C69" s="5" t="str">
        <f t="shared" si="42"/>
        <v>Statement</v>
      </c>
      <c r="D69" s="5" t="str">
        <f t="shared" si="2"/>
        <v>Aaron Slone_3351</v>
      </c>
      <c r="E69" s="5"/>
      <c r="F69" s="5">
        <v>3351</v>
      </c>
      <c r="G69" s="22" t="s">
        <v>302</v>
      </c>
      <c r="H69" s="5" t="s">
        <v>173</v>
      </c>
      <c r="I69" s="5" t="s">
        <v>192</v>
      </c>
      <c r="J69" s="5" t="s">
        <v>152</v>
      </c>
      <c r="K69" s="5" t="s">
        <v>193</v>
      </c>
      <c r="L69" s="31">
        <f t="shared" si="3"/>
        <v>11308</v>
      </c>
      <c r="M69" s="5" t="s">
        <v>154</v>
      </c>
      <c r="N69" s="22" t="s">
        <v>155</v>
      </c>
      <c r="O69" s="100">
        <v>36381</v>
      </c>
      <c r="P69" s="146">
        <f>VLOOKUP(I69,'Job Codes'!$B$2:$I$120,4,FALSE)</f>
        <v>37000</v>
      </c>
      <c r="Q69" s="146">
        <f>VLOOKUP(I69,'Job Codes'!$B$2:$I$120,5,FALSE)</f>
        <v>48100</v>
      </c>
      <c r="R69" s="146">
        <f>VLOOKUP(I69,'Job Codes'!$B$2:$I$120,6,FALSE)</f>
        <v>57720</v>
      </c>
      <c r="S69" s="22" t="s">
        <v>171</v>
      </c>
      <c r="T69" s="146">
        <v>37502</v>
      </c>
      <c r="U69" s="8">
        <f>VLOOKUP(S69,Data!$H$22:$I$25,2,FALSE)*T69</f>
        <v>37502</v>
      </c>
      <c r="V69" s="180">
        <f t="shared" si="4"/>
        <v>0.77966735966735967</v>
      </c>
      <c r="W69" s="180">
        <f t="shared" si="5"/>
        <v>0.28259826142605726</v>
      </c>
      <c r="X69" s="22" t="str">
        <f t="shared" si="6"/>
        <v>Yes</v>
      </c>
      <c r="Y69" s="180">
        <f t="shared" si="7"/>
        <v>0.02</v>
      </c>
      <c r="Z69" s="146">
        <f t="shared" si="8"/>
        <v>750.04</v>
      </c>
      <c r="AA69" s="146">
        <f t="shared" si="9"/>
        <v>750.04</v>
      </c>
      <c r="AB69" s="72"/>
      <c r="AC69" s="146">
        <f>AB69/VLOOKUP(S69,Data!$H$22:$I$25,2,FALSE)</f>
        <v>0</v>
      </c>
      <c r="AD69" s="22" t="s">
        <v>157</v>
      </c>
      <c r="AE69" s="146">
        <f>VLOOKUP(S69,Data!$H$22:$J$25,3,FALSE)*T69</f>
        <v>1125.06</v>
      </c>
      <c r="AF69" s="8">
        <f>VLOOKUP(S69,Data!$H$22:$I$25,2,FALSE)*AE69</f>
        <v>1125.06</v>
      </c>
      <c r="AG69" s="8" t="s">
        <v>172</v>
      </c>
      <c r="AH69" s="23">
        <v>0</v>
      </c>
      <c r="AI69" s="72"/>
      <c r="AJ69" s="159">
        <f t="shared" si="10"/>
        <v>0</v>
      </c>
      <c r="AK69" s="168">
        <f t="shared" si="43"/>
        <v>0</v>
      </c>
      <c r="AL69" s="160">
        <f t="shared" si="44"/>
        <v>0</v>
      </c>
      <c r="AM69" s="168">
        <f t="shared" si="11"/>
        <v>37502</v>
      </c>
      <c r="AN69" s="160">
        <f t="shared" si="12"/>
        <v>37502</v>
      </c>
      <c r="AO69" s="160" t="str">
        <f t="shared" si="45"/>
        <v>No</v>
      </c>
      <c r="AP69" s="146">
        <f>IF(AQ69=0,0,AQ69/VLOOKUP(S69,Data!$H$22:$I$25,2,FALSE))</f>
        <v>0</v>
      </c>
      <c r="AQ69" s="183">
        <f t="shared" si="13"/>
        <v>0</v>
      </c>
      <c r="AR69" s="165">
        <f t="shared" si="14"/>
        <v>0</v>
      </c>
      <c r="AS69" s="183">
        <f t="shared" si="15"/>
        <v>0</v>
      </c>
      <c r="AT69" s="250">
        <f t="shared" si="16"/>
        <v>0</v>
      </c>
      <c r="AU69" s="146">
        <f t="shared" si="17"/>
        <v>37502</v>
      </c>
      <c r="AV69" s="8">
        <f t="shared" si="18"/>
        <v>37502</v>
      </c>
      <c r="AW69" s="8" t="str">
        <f t="shared" si="19"/>
        <v/>
      </c>
      <c r="AX69" s="180">
        <f t="shared" si="20"/>
        <v>0.77966735966735967</v>
      </c>
      <c r="AY69" s="146">
        <f t="shared" si="21"/>
        <v>0</v>
      </c>
      <c r="AZ69" s="146">
        <f t="shared" si="22"/>
        <v>0</v>
      </c>
      <c r="BA69" s="22" t="s">
        <v>159</v>
      </c>
      <c r="BB69" s="149"/>
      <c r="BC69" s="149"/>
      <c r="BD69" s="144"/>
      <c r="BE69" s="146" t="str">
        <f t="shared" si="23"/>
        <v/>
      </c>
      <c r="BF69" s="8" t="str">
        <f t="shared" si="24"/>
        <v/>
      </c>
      <c r="BG69" s="8" t="str">
        <f>IF(LEN(BC69)&gt;0,VLOOKUP(BC69,'Job Codes'!B62:I180,7,FALSE),"")</f>
        <v/>
      </c>
      <c r="BH69" s="192" t="str">
        <f>IF(LEN(BC69)&gt;0,VLOOKUP(BC69,'Job Codes'!B62:I180,8,FALSE),"")</f>
        <v/>
      </c>
      <c r="BI69" s="192" t="str">
        <f>IF(LEN(BC69)&gt;0,VLOOKUP(BC69,'Job Codes'!$B$2:$J$120,9,FALSE),"")</f>
        <v/>
      </c>
      <c r="BJ69" s="146" t="str">
        <f>IF(LEN(BC69)&gt;0,VLOOKUP(BC69,'Job Codes'!$B$2:$I$120,4,FALSE),"")</f>
        <v/>
      </c>
      <c r="BK69" s="146" t="str">
        <f>IF(LEN(BC69)&gt;0,VLOOKUP(BC69,'Job Codes'!$B$2:$I$120,5,FALSE),"")</f>
        <v/>
      </c>
      <c r="BL69" s="146" t="str">
        <f>IF(LEN(BC69)&gt;0,VLOOKUP(BC69,'Job Codes'!$B$2:$I$120,6,FALSE),"")</f>
        <v/>
      </c>
      <c r="BM69" s="168">
        <f t="shared" si="25"/>
        <v>37502</v>
      </c>
      <c r="BN69" s="160">
        <f t="shared" si="26"/>
        <v>37502</v>
      </c>
      <c r="BO69" s="22" t="s">
        <v>157</v>
      </c>
      <c r="BP69" s="157">
        <f>VLOOKUP(I69,'Job Codes'!$B$2:$I$120,8,FALSE)</f>
        <v>0.15</v>
      </c>
      <c r="BQ69" s="25" t="str">
        <f>IF(O69&gt;Data!$H$33,"Yes","No")</f>
        <v>No</v>
      </c>
      <c r="BR69" s="191">
        <v>0.15</v>
      </c>
      <c r="BS69" s="150">
        <f t="shared" si="27"/>
        <v>5625.3</v>
      </c>
      <c r="BT69" s="25">
        <f t="shared" si="28"/>
        <v>5625.3</v>
      </c>
      <c r="BU69" s="161">
        <v>1</v>
      </c>
      <c r="BV69" s="168">
        <f t="shared" si="29"/>
        <v>5625.3</v>
      </c>
      <c r="BW69" s="160">
        <f t="shared" si="30"/>
        <v>5625.3</v>
      </c>
      <c r="BX69" s="149"/>
      <c r="BY69" s="32">
        <f t="shared" si="31"/>
        <v>0</v>
      </c>
      <c r="BZ69" s="22" t="s">
        <v>157</v>
      </c>
      <c r="CA69" s="231">
        <f>VLOOKUP(I69,'Job Codes'!$B$2:$J$120,9,FALSE)</f>
        <v>0.15</v>
      </c>
      <c r="CB69" s="253">
        <f t="shared" si="32"/>
        <v>5625.3</v>
      </c>
      <c r="CC69" s="72"/>
      <c r="CD69" s="25" t="str">
        <f t="shared" si="33"/>
        <v>Below</v>
      </c>
      <c r="CE69" s="27"/>
      <c r="CF69" s="27"/>
      <c r="CG69" s="27"/>
      <c r="CH69" s="27"/>
      <c r="CI69" s="27"/>
      <c r="CJ69" s="3"/>
      <c r="CK69" s="3"/>
      <c r="CL69" s="3">
        <v>4569</v>
      </c>
      <c r="CM69" s="3" t="s">
        <v>161</v>
      </c>
      <c r="CN69" s="3">
        <v>4571</v>
      </c>
      <c r="CO69" s="3" t="s">
        <v>162</v>
      </c>
      <c r="CP69" s="3">
        <v>12345</v>
      </c>
      <c r="CQ69" s="3" t="s">
        <v>163</v>
      </c>
      <c r="CR69" s="246" t="s">
        <v>164</v>
      </c>
      <c r="CS69" s="247" t="s">
        <v>165</v>
      </c>
      <c r="CT69" s="246" t="s">
        <v>166</v>
      </c>
      <c r="CU69" s="247" t="s">
        <v>167</v>
      </c>
      <c r="CV69" s="3" t="str">
        <f t="shared" si="34"/>
        <v>67890;99485</v>
      </c>
      <c r="CW69" s="3" t="s">
        <v>168</v>
      </c>
      <c r="CX69" s="3" t="str">
        <f t="shared" si="35"/>
        <v>;;BB69:BD69;;</v>
      </c>
      <c r="CY69" s="5" t="str">
        <f t="shared" si="36"/>
        <v>Unlock</v>
      </c>
      <c r="CZ69" s="5" t="str">
        <f t="shared" si="37"/>
        <v>Lock</v>
      </c>
      <c r="DA69" s="5" t="str">
        <f t="shared" si="38"/>
        <v>Lock</v>
      </c>
      <c r="DB69" s="5" t="str">
        <f t="shared" si="39"/>
        <v>Lock</v>
      </c>
      <c r="DC69" s="5" t="str">
        <f t="shared" si="40"/>
        <v>Lock</v>
      </c>
      <c r="DD69" s="78">
        <f t="shared" si="41"/>
        <v>3</v>
      </c>
      <c r="DE69" s="2"/>
      <c r="DF69" s="2"/>
      <c r="DG69" s="2"/>
      <c r="DH69" s="2"/>
      <c r="DI69" s="2"/>
      <c r="DJ69" s="2"/>
      <c r="DK69" s="5"/>
      <c r="DL69" s="2"/>
      <c r="DM69" s="2"/>
      <c r="DN69" s="2"/>
      <c r="DO69" s="2"/>
      <c r="DP69" s="2"/>
      <c r="DQ69" s="2"/>
      <c r="DR69" s="2"/>
      <c r="DS69" s="2"/>
      <c r="DT69" s="2"/>
      <c r="DU69" s="2"/>
      <c r="DV69" s="2"/>
      <c r="DW69" s="2"/>
      <c r="DX69" s="2"/>
      <c r="DY69" s="2"/>
      <c r="DZ69" s="2"/>
      <c r="EA69" s="2"/>
      <c r="EB69" s="2"/>
      <c r="EC69" s="2"/>
      <c r="ED69" s="2"/>
      <c r="EE69" s="2"/>
      <c r="EF69" s="1"/>
      <c r="EG69" s="98"/>
      <c r="EH69" s="98"/>
      <c r="EI69" s="1"/>
      <c r="EJ69" s="1"/>
      <c r="EK69" s="98"/>
      <c r="EL69" s="1"/>
    </row>
    <row r="70" spans="1:142">
      <c r="A70" s="32">
        <f t="shared" si="0"/>
        <v>3383</v>
      </c>
      <c r="B70" s="3" t="str">
        <f t="shared" si="1"/>
        <v>sv_statement//Statement//Export Statement&amp;PDFID=William Drye_3383&amp;SO=Y</v>
      </c>
      <c r="C70" s="5" t="str">
        <f t="shared" si="42"/>
        <v>Statement</v>
      </c>
      <c r="D70" s="5" t="str">
        <f t="shared" si="2"/>
        <v>William Drye_3383</v>
      </c>
      <c r="E70" s="5"/>
      <c r="F70" s="5">
        <v>3383</v>
      </c>
      <c r="G70" s="22" t="s">
        <v>303</v>
      </c>
      <c r="H70" s="5" t="s">
        <v>296</v>
      </c>
      <c r="I70" s="5" t="s">
        <v>304</v>
      </c>
      <c r="J70" s="5" t="s">
        <v>152</v>
      </c>
      <c r="K70" s="5" t="s">
        <v>153</v>
      </c>
      <c r="L70" s="31">
        <f t="shared" si="3"/>
        <v>11351</v>
      </c>
      <c r="M70" s="5" t="s">
        <v>177</v>
      </c>
      <c r="N70" s="22" t="s">
        <v>155</v>
      </c>
      <c r="O70" s="100">
        <v>35678</v>
      </c>
      <c r="P70" s="146">
        <f>VLOOKUP(I70,'Job Codes'!$B$2:$I$120,4,FALSE)</f>
        <v>20000</v>
      </c>
      <c r="Q70" s="146">
        <f>VLOOKUP(I70,'Job Codes'!$B$2:$I$120,5,FALSE)</f>
        <v>26000</v>
      </c>
      <c r="R70" s="146">
        <f>VLOOKUP(I70,'Job Codes'!$B$2:$I$120,6,FALSE)</f>
        <v>31200</v>
      </c>
      <c r="S70" s="22" t="s">
        <v>171</v>
      </c>
      <c r="T70" s="146">
        <v>29000</v>
      </c>
      <c r="U70" s="8">
        <f>VLOOKUP(S70,Data!$H$22:$I$25,2,FALSE)*T70</f>
        <v>29000</v>
      </c>
      <c r="V70" s="180">
        <f t="shared" si="4"/>
        <v>1.1153846153846154</v>
      </c>
      <c r="W70" s="180">
        <f t="shared" si="5"/>
        <v>0</v>
      </c>
      <c r="X70" s="22" t="str">
        <f t="shared" si="6"/>
        <v>No</v>
      </c>
      <c r="Y70" s="180">
        <f t="shared" si="7"/>
        <v>0</v>
      </c>
      <c r="Z70" s="146">
        <f t="shared" si="8"/>
        <v>0</v>
      </c>
      <c r="AA70" s="146">
        <f t="shared" si="9"/>
        <v>0</v>
      </c>
      <c r="AB70" s="72"/>
      <c r="AC70" s="146">
        <f>AB70/VLOOKUP(S70,Data!$H$22:$I$25,2,FALSE)</f>
        <v>0</v>
      </c>
      <c r="AD70" s="22" t="s">
        <v>157</v>
      </c>
      <c r="AE70" s="146">
        <f>VLOOKUP(S70,Data!$H$22:$J$25,3,FALSE)*T70</f>
        <v>870</v>
      </c>
      <c r="AF70" s="8">
        <f>VLOOKUP(S70,Data!$H$22:$I$25,2,FALSE)*AE70</f>
        <v>870</v>
      </c>
      <c r="AG70" s="8" t="s">
        <v>158</v>
      </c>
      <c r="AH70" s="23">
        <v>0</v>
      </c>
      <c r="AI70" s="72"/>
      <c r="AJ70" s="159">
        <f t="shared" si="10"/>
        <v>0</v>
      </c>
      <c r="AK70" s="168">
        <f t="shared" si="43"/>
        <v>0</v>
      </c>
      <c r="AL70" s="160">
        <f t="shared" si="44"/>
        <v>0</v>
      </c>
      <c r="AM70" s="168">
        <f t="shared" si="11"/>
        <v>29000</v>
      </c>
      <c r="AN70" s="160">
        <f t="shared" si="12"/>
        <v>29000</v>
      </c>
      <c r="AO70" s="160" t="str">
        <f t="shared" si="45"/>
        <v>No</v>
      </c>
      <c r="AP70" s="146">
        <f>IF(AQ70=0,0,AQ70/VLOOKUP(S70,Data!$H$22:$I$25,2,FALSE))</f>
        <v>0</v>
      </c>
      <c r="AQ70" s="183">
        <f t="shared" si="13"/>
        <v>0</v>
      </c>
      <c r="AR70" s="165">
        <f t="shared" si="14"/>
        <v>0</v>
      </c>
      <c r="AS70" s="183">
        <f t="shared" si="15"/>
        <v>0</v>
      </c>
      <c r="AT70" s="250">
        <f t="shared" si="16"/>
        <v>0</v>
      </c>
      <c r="AU70" s="146">
        <f t="shared" si="17"/>
        <v>29000</v>
      </c>
      <c r="AV70" s="8">
        <f t="shared" si="18"/>
        <v>29000</v>
      </c>
      <c r="AW70" s="8" t="str">
        <f t="shared" si="19"/>
        <v>Not within guidelines</v>
      </c>
      <c r="AX70" s="180">
        <f t="shared" si="20"/>
        <v>1.1153846153846154</v>
      </c>
      <c r="AY70" s="146">
        <f t="shared" si="21"/>
        <v>1</v>
      </c>
      <c r="AZ70" s="146">
        <f t="shared" si="22"/>
        <v>1</v>
      </c>
      <c r="BA70" s="22" t="s">
        <v>159</v>
      </c>
      <c r="BB70" s="149"/>
      <c r="BC70" s="149"/>
      <c r="BD70" s="144"/>
      <c r="BE70" s="146" t="str">
        <f t="shared" si="23"/>
        <v/>
      </c>
      <c r="BF70" s="8" t="str">
        <f t="shared" si="24"/>
        <v/>
      </c>
      <c r="BG70" s="8" t="str">
        <f>IF(LEN(BC70)&gt;0,VLOOKUP(BC70,'Job Codes'!B63:I181,7,FALSE),"")</f>
        <v/>
      </c>
      <c r="BH70" s="192" t="str">
        <f>IF(LEN(BC70)&gt;0,VLOOKUP(BC70,'Job Codes'!B63:I181,8,FALSE),"")</f>
        <v/>
      </c>
      <c r="BI70" s="192" t="str">
        <f>IF(LEN(BC70)&gt;0,VLOOKUP(BC70,'Job Codes'!$B$2:$J$120,9,FALSE),"")</f>
        <v/>
      </c>
      <c r="BJ70" s="146" t="str">
        <f>IF(LEN(BC70)&gt;0,VLOOKUP(BC70,'Job Codes'!$B$2:$I$120,4,FALSE),"")</f>
        <v/>
      </c>
      <c r="BK70" s="146" t="str">
        <f>IF(LEN(BC70)&gt;0,VLOOKUP(BC70,'Job Codes'!$B$2:$I$120,5,FALSE),"")</f>
        <v/>
      </c>
      <c r="BL70" s="146" t="str">
        <f>IF(LEN(BC70)&gt;0,VLOOKUP(BC70,'Job Codes'!$B$2:$I$120,6,FALSE),"")</f>
        <v/>
      </c>
      <c r="BM70" s="168">
        <f t="shared" si="25"/>
        <v>29000</v>
      </c>
      <c r="BN70" s="160">
        <f t="shared" si="26"/>
        <v>29000</v>
      </c>
      <c r="BO70" s="22" t="s">
        <v>159</v>
      </c>
      <c r="BP70" s="157">
        <f>VLOOKUP(I70,'Job Codes'!$B$2:$I$120,8,FALSE)</f>
        <v>0</v>
      </c>
      <c r="BQ70" s="25" t="str">
        <f>IF(O70&gt;Data!$H$33,"Yes","No")</f>
        <v>No</v>
      </c>
      <c r="BR70" s="191">
        <v>0</v>
      </c>
      <c r="BS70" s="150">
        <f t="shared" si="27"/>
        <v>0</v>
      </c>
      <c r="BT70" s="25">
        <f t="shared" si="28"/>
        <v>0</v>
      </c>
      <c r="BU70" s="161">
        <v>1</v>
      </c>
      <c r="BV70" s="168">
        <f t="shared" si="29"/>
        <v>0</v>
      </c>
      <c r="BW70" s="160">
        <f t="shared" si="30"/>
        <v>0</v>
      </c>
      <c r="BX70" s="149"/>
      <c r="BY70" s="32">
        <f t="shared" si="31"/>
        <v>0</v>
      </c>
      <c r="BZ70" s="22" t="s">
        <v>159</v>
      </c>
      <c r="CA70" s="231">
        <f>VLOOKUP(I70,'Job Codes'!$B$2:$J$120,9,FALSE)</f>
        <v>0</v>
      </c>
      <c r="CB70" s="253">
        <f t="shared" si="32"/>
        <v>0</v>
      </c>
      <c r="CC70" s="72"/>
      <c r="CD70" s="25" t="str">
        <f t="shared" si="33"/>
        <v>Exceeds</v>
      </c>
      <c r="CE70" s="27"/>
      <c r="CF70" s="27"/>
      <c r="CG70" s="27"/>
      <c r="CH70" s="27"/>
      <c r="CI70" s="27"/>
      <c r="CJ70" s="3">
        <v>11308</v>
      </c>
      <c r="CK70" s="3" t="s">
        <v>154</v>
      </c>
      <c r="CL70" s="3">
        <v>4569</v>
      </c>
      <c r="CM70" s="3" t="s">
        <v>161</v>
      </c>
      <c r="CN70" s="3">
        <v>4571</v>
      </c>
      <c r="CO70" s="3" t="s">
        <v>162</v>
      </c>
      <c r="CP70" s="3">
        <v>12345</v>
      </c>
      <c r="CQ70" s="3" t="s">
        <v>163</v>
      </c>
      <c r="CR70" s="246" t="s">
        <v>179</v>
      </c>
      <c r="CS70" s="247" t="s">
        <v>180</v>
      </c>
      <c r="CT70" s="246" t="s">
        <v>166</v>
      </c>
      <c r="CU70" s="247" t="s">
        <v>167</v>
      </c>
      <c r="CV70" s="3" t="str">
        <f t="shared" si="34"/>
        <v>90876;99485</v>
      </c>
      <c r="CW70" s="3" t="s">
        <v>168</v>
      </c>
      <c r="CX70" s="3" t="str">
        <f t="shared" si="35"/>
        <v>AB70;;BB70:BD70;BU70;BX70</v>
      </c>
      <c r="CY70" s="5" t="str">
        <f t="shared" si="36"/>
        <v>Unlock</v>
      </c>
      <c r="CZ70" s="5" t="str">
        <f t="shared" si="37"/>
        <v>Lock</v>
      </c>
      <c r="DA70" s="5" t="str">
        <f t="shared" si="38"/>
        <v>Lock</v>
      </c>
      <c r="DB70" s="5" t="str">
        <f t="shared" si="39"/>
        <v>Lock</v>
      </c>
      <c r="DC70" s="5" t="str">
        <f t="shared" si="40"/>
        <v>Lock</v>
      </c>
      <c r="DD70" s="78">
        <f t="shared" si="41"/>
        <v>2</v>
      </c>
      <c r="DE70" s="2"/>
      <c r="DF70" s="2"/>
      <c r="DG70" s="2"/>
      <c r="DH70" s="2"/>
      <c r="DI70" s="2"/>
      <c r="DJ70" s="2"/>
      <c r="DK70" s="5"/>
      <c r="DL70" s="2"/>
      <c r="DM70" s="2"/>
      <c r="DN70" s="2"/>
      <c r="DO70" s="2"/>
      <c r="DP70" s="2"/>
      <c r="DQ70" s="2"/>
      <c r="DR70" s="2"/>
      <c r="DS70" s="2"/>
      <c r="DT70" s="2"/>
      <c r="DU70" s="2"/>
      <c r="DV70" s="2"/>
      <c r="DW70" s="2"/>
      <c r="DX70" s="2"/>
      <c r="DY70" s="2"/>
      <c r="DZ70" s="2"/>
      <c r="EA70" s="2"/>
      <c r="EB70" s="2"/>
      <c r="EC70" s="2"/>
      <c r="ED70" s="2"/>
      <c r="EE70" s="2"/>
      <c r="EF70" s="1"/>
      <c r="EG70" s="98"/>
      <c r="EH70" s="98"/>
      <c r="EI70" s="1"/>
      <c r="EJ70" s="1"/>
      <c r="EK70" s="98"/>
      <c r="EL70" s="1"/>
    </row>
    <row r="71" spans="1:142">
      <c r="A71" s="32">
        <f t="shared" si="0"/>
        <v>3393</v>
      </c>
      <c r="B71" s="3" t="str">
        <f t="shared" si="1"/>
        <v>sv_statement//Statement//Export Statement&amp;PDFID=Hazel Moreno_3393&amp;SO=Y</v>
      </c>
      <c r="C71" s="5" t="str">
        <f t="shared" si="42"/>
        <v>Statement</v>
      </c>
      <c r="D71" s="5" t="str">
        <f t="shared" si="2"/>
        <v>Hazel Moreno_3393</v>
      </c>
      <c r="E71" s="5"/>
      <c r="F71" s="5">
        <v>3393</v>
      </c>
      <c r="G71" s="22" t="s">
        <v>305</v>
      </c>
      <c r="H71" s="5" t="s">
        <v>214</v>
      </c>
      <c r="I71" s="5" t="s">
        <v>248</v>
      </c>
      <c r="J71" s="5" t="s">
        <v>208</v>
      </c>
      <c r="K71" s="5" t="s">
        <v>211</v>
      </c>
      <c r="L71" s="31">
        <f t="shared" si="3"/>
        <v>11498</v>
      </c>
      <c r="M71" s="5" t="s">
        <v>197</v>
      </c>
      <c r="N71" s="22" t="s">
        <v>155</v>
      </c>
      <c r="O71" s="100">
        <v>36676</v>
      </c>
      <c r="P71" s="146">
        <f>VLOOKUP(I71,'Job Codes'!$B$2:$I$120,4,FALSE)</f>
        <v>27000</v>
      </c>
      <c r="Q71" s="146">
        <f>VLOOKUP(I71,'Job Codes'!$B$2:$I$120,5,FALSE)</f>
        <v>35100</v>
      </c>
      <c r="R71" s="146">
        <f>VLOOKUP(I71,'Job Codes'!$B$2:$I$120,6,FALSE)</f>
        <v>42120</v>
      </c>
      <c r="S71" s="22" t="s">
        <v>171</v>
      </c>
      <c r="T71" s="146">
        <v>37378</v>
      </c>
      <c r="U71" s="8">
        <f>VLOOKUP(S71,Data!$H$22:$I$25,2,FALSE)*T71</f>
        <v>37378</v>
      </c>
      <c r="V71" s="180">
        <f t="shared" si="4"/>
        <v>1.0649002849002849</v>
      </c>
      <c r="W71" s="180">
        <f t="shared" si="5"/>
        <v>0</v>
      </c>
      <c r="X71" s="22" t="str">
        <f t="shared" si="6"/>
        <v>No</v>
      </c>
      <c r="Y71" s="180">
        <f t="shared" si="7"/>
        <v>0</v>
      </c>
      <c r="Z71" s="146">
        <f t="shared" si="8"/>
        <v>0</v>
      </c>
      <c r="AA71" s="146">
        <f t="shared" si="9"/>
        <v>0</v>
      </c>
      <c r="AB71" s="72"/>
      <c r="AC71" s="146">
        <f>AB71/VLOOKUP(S71,Data!$H$22:$I$25,2,FALSE)</f>
        <v>0</v>
      </c>
      <c r="AD71" s="22" t="s">
        <v>157</v>
      </c>
      <c r="AE71" s="146">
        <f>VLOOKUP(S71,Data!$H$22:$J$25,3,FALSE)*T71</f>
        <v>1121.3399999999999</v>
      </c>
      <c r="AF71" s="8">
        <f>VLOOKUP(S71,Data!$H$22:$I$25,2,FALSE)*AE71</f>
        <v>1121.3399999999999</v>
      </c>
      <c r="AG71" s="8" t="s">
        <v>178</v>
      </c>
      <c r="AH71" s="23">
        <v>0.02</v>
      </c>
      <c r="AI71" s="72"/>
      <c r="AJ71" s="159">
        <f t="shared" si="10"/>
        <v>0.02</v>
      </c>
      <c r="AK71" s="168">
        <f t="shared" si="43"/>
        <v>747.56000000000006</v>
      </c>
      <c r="AL71" s="160">
        <f t="shared" si="44"/>
        <v>747.56000000000006</v>
      </c>
      <c r="AM71" s="168">
        <f t="shared" si="11"/>
        <v>38125.56</v>
      </c>
      <c r="AN71" s="160">
        <f t="shared" si="12"/>
        <v>38125.56</v>
      </c>
      <c r="AO71" s="160" t="str">
        <f t="shared" si="45"/>
        <v>No</v>
      </c>
      <c r="AP71" s="146">
        <f>IF(AQ71=0,0,AQ71/VLOOKUP(S71,Data!$H$22:$I$25,2,FALSE))</f>
        <v>0</v>
      </c>
      <c r="AQ71" s="183">
        <f t="shared" si="13"/>
        <v>0</v>
      </c>
      <c r="AR71" s="165">
        <f t="shared" si="14"/>
        <v>747.56000000000006</v>
      </c>
      <c r="AS71" s="183">
        <f t="shared" si="15"/>
        <v>747.56000000000006</v>
      </c>
      <c r="AT71" s="250">
        <f t="shared" si="16"/>
        <v>0.02</v>
      </c>
      <c r="AU71" s="146">
        <f t="shared" si="17"/>
        <v>38125.56</v>
      </c>
      <c r="AV71" s="8">
        <f t="shared" si="18"/>
        <v>38125.56</v>
      </c>
      <c r="AW71" s="8" t="str">
        <f t="shared" si="19"/>
        <v/>
      </c>
      <c r="AX71" s="180">
        <f t="shared" si="20"/>
        <v>1.0861982905982905</v>
      </c>
      <c r="AY71" s="146">
        <f t="shared" si="21"/>
        <v>0</v>
      </c>
      <c r="AZ71" s="146">
        <f t="shared" si="22"/>
        <v>0</v>
      </c>
      <c r="BA71" s="22" t="s">
        <v>159</v>
      </c>
      <c r="BB71" s="149"/>
      <c r="BC71" s="149"/>
      <c r="BD71" s="144"/>
      <c r="BE71" s="146" t="str">
        <f t="shared" si="23"/>
        <v/>
      </c>
      <c r="BF71" s="8" t="str">
        <f t="shared" si="24"/>
        <v/>
      </c>
      <c r="BG71" s="8" t="str">
        <f>IF(LEN(BC71)&gt;0,VLOOKUP(BC71,'Job Codes'!B64:I182,7,FALSE),"")</f>
        <v/>
      </c>
      <c r="BH71" s="192" t="str">
        <f>IF(LEN(BC71)&gt;0,VLOOKUP(BC71,'Job Codes'!B64:I182,8,FALSE),"")</f>
        <v/>
      </c>
      <c r="BI71" s="192" t="str">
        <f>IF(LEN(BC71)&gt;0,VLOOKUP(BC71,'Job Codes'!$B$2:$J$120,9,FALSE),"")</f>
        <v/>
      </c>
      <c r="BJ71" s="146" t="str">
        <f>IF(LEN(BC71)&gt;0,VLOOKUP(BC71,'Job Codes'!$B$2:$I$120,4,FALSE),"")</f>
        <v/>
      </c>
      <c r="BK71" s="146" t="str">
        <f>IF(LEN(BC71)&gt;0,VLOOKUP(BC71,'Job Codes'!$B$2:$I$120,5,FALSE),"")</f>
        <v/>
      </c>
      <c r="BL71" s="146" t="str">
        <f>IF(LEN(BC71)&gt;0,VLOOKUP(BC71,'Job Codes'!$B$2:$I$120,6,FALSE),"")</f>
        <v/>
      </c>
      <c r="BM71" s="168">
        <f t="shared" si="25"/>
        <v>38125.56</v>
      </c>
      <c r="BN71" s="160">
        <f t="shared" si="26"/>
        <v>38125.56</v>
      </c>
      <c r="BO71" s="22" t="s">
        <v>157</v>
      </c>
      <c r="BP71" s="157">
        <f>VLOOKUP(I71,'Job Codes'!$B$2:$I$120,8,FALSE)</f>
        <v>0.05</v>
      </c>
      <c r="BQ71" s="25" t="str">
        <f>IF(O71&gt;Data!$H$33,"Yes","No")</f>
        <v>No</v>
      </c>
      <c r="BR71" s="191">
        <v>0.05</v>
      </c>
      <c r="BS71" s="150">
        <f t="shared" si="27"/>
        <v>1868.9</v>
      </c>
      <c r="BT71" s="25">
        <f t="shared" si="28"/>
        <v>1868.9</v>
      </c>
      <c r="BU71" s="161">
        <v>1</v>
      </c>
      <c r="BV71" s="168">
        <f t="shared" si="29"/>
        <v>1868.9</v>
      </c>
      <c r="BW71" s="160">
        <f t="shared" si="30"/>
        <v>1868.9</v>
      </c>
      <c r="BX71" s="149"/>
      <c r="BY71" s="32">
        <f t="shared" si="31"/>
        <v>0</v>
      </c>
      <c r="BZ71" s="22" t="s">
        <v>159</v>
      </c>
      <c r="CA71" s="231">
        <f>VLOOKUP(I71,'Job Codes'!$B$2:$J$120,9,FALSE)</f>
        <v>0</v>
      </c>
      <c r="CB71" s="253">
        <f t="shared" si="32"/>
        <v>0</v>
      </c>
      <c r="CC71" s="72"/>
      <c r="CD71" s="25" t="str">
        <f t="shared" si="33"/>
        <v>Meets</v>
      </c>
      <c r="CE71" s="27"/>
      <c r="CF71" s="27"/>
      <c r="CG71" s="27"/>
      <c r="CH71" s="27"/>
      <c r="CI71" s="27"/>
      <c r="CJ71" s="3">
        <v>20714</v>
      </c>
      <c r="CK71" s="3" t="s">
        <v>198</v>
      </c>
      <c r="CL71" s="3">
        <v>4569</v>
      </c>
      <c r="CM71" s="3" t="s">
        <v>161</v>
      </c>
      <c r="CN71" s="3">
        <v>4571</v>
      </c>
      <c r="CO71" s="3" t="s">
        <v>162</v>
      </c>
      <c r="CP71" s="3">
        <v>12345</v>
      </c>
      <c r="CQ71" s="3" t="s">
        <v>163</v>
      </c>
      <c r="CR71" s="246" t="s">
        <v>166</v>
      </c>
      <c r="CS71" s="247" t="s">
        <v>167</v>
      </c>
      <c r="CT71" s="246" t="s">
        <v>199</v>
      </c>
      <c r="CU71" s="247" t="s">
        <v>200</v>
      </c>
      <c r="CV71" s="3" t="str">
        <f t="shared" si="34"/>
        <v>99485;36523</v>
      </c>
      <c r="CW71" s="3" t="s">
        <v>168</v>
      </c>
      <c r="CX71" s="3" t="str">
        <f t="shared" si="35"/>
        <v>AB71;;BB71:BD71;;CC71</v>
      </c>
      <c r="CY71" s="5" t="str">
        <f t="shared" si="36"/>
        <v>Unlock</v>
      </c>
      <c r="CZ71" s="5" t="str">
        <f t="shared" si="37"/>
        <v>Lock</v>
      </c>
      <c r="DA71" s="5" t="str">
        <f t="shared" si="38"/>
        <v>Lock</v>
      </c>
      <c r="DB71" s="5" t="str">
        <f t="shared" si="39"/>
        <v>Lock</v>
      </c>
      <c r="DC71" s="5" t="str">
        <f t="shared" si="40"/>
        <v>Lock</v>
      </c>
      <c r="DD71" s="78">
        <f t="shared" si="41"/>
        <v>2</v>
      </c>
      <c r="DE71" s="2"/>
      <c r="DF71" s="2"/>
      <c r="DG71" s="2"/>
      <c r="DH71" s="2"/>
      <c r="DI71" s="2"/>
      <c r="DJ71" s="2"/>
      <c r="DK71" s="5"/>
      <c r="DL71" s="2"/>
      <c r="DM71" s="2"/>
      <c r="DN71" s="2"/>
      <c r="DO71" s="2"/>
      <c r="DP71" s="2"/>
      <c r="DQ71" s="2"/>
      <c r="DR71" s="2"/>
      <c r="DS71" s="2"/>
      <c r="DT71" s="2"/>
      <c r="DU71" s="2"/>
      <c r="DV71" s="2"/>
      <c r="DW71" s="2"/>
      <c r="DX71" s="2"/>
      <c r="DY71" s="2"/>
      <c r="DZ71" s="2"/>
      <c r="EA71" s="2"/>
      <c r="EB71" s="2"/>
      <c r="EC71" s="2"/>
      <c r="ED71" s="2"/>
      <c r="EE71" s="2"/>
      <c r="EF71" s="1"/>
      <c r="EG71" s="98"/>
      <c r="EH71" s="98"/>
      <c r="EI71" s="1"/>
      <c r="EJ71" s="1"/>
      <c r="EK71" s="98"/>
      <c r="EL71" s="1"/>
    </row>
    <row r="72" spans="1:142">
      <c r="A72" s="32">
        <f t="shared" si="0"/>
        <v>3427</v>
      </c>
      <c r="B72" s="3" t="str">
        <f t="shared" si="1"/>
        <v>sv_statement//Statement//Export Statement&amp;PDFID=Angelica Black_3427&amp;SO=Y</v>
      </c>
      <c r="C72" s="5" t="str">
        <f t="shared" si="42"/>
        <v>Statement</v>
      </c>
      <c r="D72" s="5" t="str">
        <f t="shared" si="2"/>
        <v>Angelica Black_3427</v>
      </c>
      <c r="E72" s="5"/>
      <c r="F72" s="5">
        <v>3427</v>
      </c>
      <c r="G72" s="22" t="s">
        <v>306</v>
      </c>
      <c r="H72" s="5" t="s">
        <v>214</v>
      </c>
      <c r="I72" s="5" t="s">
        <v>266</v>
      </c>
      <c r="J72" s="5" t="s">
        <v>208</v>
      </c>
      <c r="K72" s="5" t="s">
        <v>211</v>
      </c>
      <c r="L72" s="31">
        <f t="shared" si="3"/>
        <v>11498</v>
      </c>
      <c r="M72" s="5" t="s">
        <v>197</v>
      </c>
      <c r="N72" s="22" t="s">
        <v>155</v>
      </c>
      <c r="O72" s="100">
        <v>36710</v>
      </c>
      <c r="P72" s="146">
        <f>VLOOKUP(I72,'Job Codes'!$B$2:$I$120,4,FALSE)</f>
        <v>29000</v>
      </c>
      <c r="Q72" s="146">
        <f>VLOOKUP(I72,'Job Codes'!$B$2:$I$120,5,FALSE)</f>
        <v>37700</v>
      </c>
      <c r="R72" s="146">
        <f>VLOOKUP(I72,'Job Codes'!$B$2:$I$120,6,FALSE)</f>
        <v>45240</v>
      </c>
      <c r="S72" s="22" t="s">
        <v>171</v>
      </c>
      <c r="T72" s="146">
        <v>39146</v>
      </c>
      <c r="U72" s="8">
        <f>VLOOKUP(S72,Data!$H$22:$I$25,2,FALSE)*T72</f>
        <v>39146</v>
      </c>
      <c r="V72" s="180">
        <f t="shared" si="4"/>
        <v>1.0383554376657824</v>
      </c>
      <c r="W72" s="180">
        <f t="shared" si="5"/>
        <v>0</v>
      </c>
      <c r="X72" s="22" t="str">
        <f t="shared" si="6"/>
        <v>No</v>
      </c>
      <c r="Y72" s="180">
        <f t="shared" si="7"/>
        <v>0</v>
      </c>
      <c r="Z72" s="146">
        <f t="shared" si="8"/>
        <v>0</v>
      </c>
      <c r="AA72" s="146">
        <f t="shared" si="9"/>
        <v>0</v>
      </c>
      <c r="AB72" s="72"/>
      <c r="AC72" s="146">
        <f>AB72/VLOOKUP(S72,Data!$H$22:$I$25,2,FALSE)</f>
        <v>0</v>
      </c>
      <c r="AD72" s="22" t="s">
        <v>157</v>
      </c>
      <c r="AE72" s="146">
        <f>VLOOKUP(S72,Data!$H$22:$J$25,3,FALSE)*T72</f>
        <v>1174.3799999999999</v>
      </c>
      <c r="AF72" s="8">
        <f>VLOOKUP(S72,Data!$H$22:$I$25,2,FALSE)*AE72</f>
        <v>1174.3799999999999</v>
      </c>
      <c r="AG72" s="8" t="s">
        <v>178</v>
      </c>
      <c r="AH72" s="23">
        <v>2.5000000000000001E-2</v>
      </c>
      <c r="AI72" s="72"/>
      <c r="AJ72" s="159">
        <f t="shared" si="10"/>
        <v>2.5000000000000001E-2</v>
      </c>
      <c r="AK72" s="168">
        <f t="shared" si="43"/>
        <v>978.65000000000009</v>
      </c>
      <c r="AL72" s="160">
        <f t="shared" si="44"/>
        <v>978.65000000000009</v>
      </c>
      <c r="AM72" s="168">
        <f t="shared" si="11"/>
        <v>40124.65</v>
      </c>
      <c r="AN72" s="160">
        <f t="shared" si="12"/>
        <v>40124.65</v>
      </c>
      <c r="AO72" s="160" t="str">
        <f t="shared" si="45"/>
        <v>No</v>
      </c>
      <c r="AP72" s="146">
        <f>IF(AQ72=0,0,AQ72/VLOOKUP(S72,Data!$H$22:$I$25,2,FALSE))</f>
        <v>0</v>
      </c>
      <c r="AQ72" s="183">
        <f t="shared" si="13"/>
        <v>0</v>
      </c>
      <c r="AR72" s="165">
        <f t="shared" si="14"/>
        <v>978.65000000000009</v>
      </c>
      <c r="AS72" s="183">
        <f t="shared" si="15"/>
        <v>978.65000000000009</v>
      </c>
      <c r="AT72" s="250">
        <f t="shared" si="16"/>
        <v>2.5000000000000001E-2</v>
      </c>
      <c r="AU72" s="146">
        <f t="shared" si="17"/>
        <v>40124.65</v>
      </c>
      <c r="AV72" s="8">
        <f t="shared" si="18"/>
        <v>40124.65</v>
      </c>
      <c r="AW72" s="8" t="str">
        <f t="shared" si="19"/>
        <v/>
      </c>
      <c r="AX72" s="180">
        <f t="shared" si="20"/>
        <v>1.0643143236074271</v>
      </c>
      <c r="AY72" s="146">
        <f t="shared" si="21"/>
        <v>0</v>
      </c>
      <c r="AZ72" s="146">
        <f t="shared" si="22"/>
        <v>0</v>
      </c>
      <c r="BA72" s="22" t="s">
        <v>159</v>
      </c>
      <c r="BB72" s="149"/>
      <c r="BC72" s="149"/>
      <c r="BD72" s="144"/>
      <c r="BE72" s="146" t="str">
        <f t="shared" si="23"/>
        <v/>
      </c>
      <c r="BF72" s="8" t="str">
        <f t="shared" si="24"/>
        <v/>
      </c>
      <c r="BG72" s="8" t="str">
        <f>IF(LEN(BC72)&gt;0,VLOOKUP(BC72,'Job Codes'!B65:I183,7,FALSE),"")</f>
        <v/>
      </c>
      <c r="BH72" s="192" t="str">
        <f>IF(LEN(BC72)&gt;0,VLOOKUP(BC72,'Job Codes'!B65:I183,8,FALSE),"")</f>
        <v/>
      </c>
      <c r="BI72" s="192" t="str">
        <f>IF(LEN(BC72)&gt;0,VLOOKUP(BC72,'Job Codes'!$B$2:$J$120,9,FALSE),"")</f>
        <v/>
      </c>
      <c r="BJ72" s="146" t="str">
        <f>IF(LEN(BC72)&gt;0,VLOOKUP(BC72,'Job Codes'!$B$2:$I$120,4,FALSE),"")</f>
        <v/>
      </c>
      <c r="BK72" s="146" t="str">
        <f>IF(LEN(BC72)&gt;0,VLOOKUP(BC72,'Job Codes'!$B$2:$I$120,5,FALSE),"")</f>
        <v/>
      </c>
      <c r="BL72" s="146" t="str">
        <f>IF(LEN(BC72)&gt;0,VLOOKUP(BC72,'Job Codes'!$B$2:$I$120,6,FALSE),"")</f>
        <v/>
      </c>
      <c r="BM72" s="168">
        <f t="shared" si="25"/>
        <v>40124.65</v>
      </c>
      <c r="BN72" s="160">
        <f t="shared" si="26"/>
        <v>40124.65</v>
      </c>
      <c r="BO72" s="22" t="s">
        <v>157</v>
      </c>
      <c r="BP72" s="157">
        <f>VLOOKUP(I72,'Job Codes'!$B$2:$I$120,8,FALSE)</f>
        <v>0.1</v>
      </c>
      <c r="BQ72" s="25" t="str">
        <f>IF(O72&gt;Data!$H$33,"Yes","No")</f>
        <v>No</v>
      </c>
      <c r="BR72" s="191">
        <v>0.1</v>
      </c>
      <c r="BS72" s="150">
        <f t="shared" si="27"/>
        <v>3914.6000000000004</v>
      </c>
      <c r="BT72" s="25">
        <f t="shared" si="28"/>
        <v>3914.6000000000004</v>
      </c>
      <c r="BU72" s="161">
        <v>1</v>
      </c>
      <c r="BV72" s="168">
        <f t="shared" si="29"/>
        <v>3914.6000000000004</v>
      </c>
      <c r="BW72" s="160">
        <f t="shared" si="30"/>
        <v>3914.6000000000004</v>
      </c>
      <c r="BX72" s="149"/>
      <c r="BY72" s="32">
        <f t="shared" si="31"/>
        <v>0</v>
      </c>
      <c r="BZ72" s="22" t="s">
        <v>157</v>
      </c>
      <c r="CA72" s="231">
        <f>VLOOKUP(I72,'Job Codes'!$B$2:$J$120,9,FALSE)</f>
        <v>0.05</v>
      </c>
      <c r="CB72" s="253">
        <f t="shared" si="32"/>
        <v>1957.3000000000002</v>
      </c>
      <c r="CC72" s="72"/>
      <c r="CD72" s="25" t="str">
        <f t="shared" si="33"/>
        <v>Meets</v>
      </c>
      <c r="CE72" s="27"/>
      <c r="CF72" s="27"/>
      <c r="CG72" s="27"/>
      <c r="CH72" s="27"/>
      <c r="CI72" s="27"/>
      <c r="CJ72" s="3">
        <v>20714</v>
      </c>
      <c r="CK72" s="3" t="s">
        <v>198</v>
      </c>
      <c r="CL72" s="3">
        <v>4569</v>
      </c>
      <c r="CM72" s="3" t="s">
        <v>161</v>
      </c>
      <c r="CN72" s="3">
        <v>4571</v>
      </c>
      <c r="CO72" s="3" t="s">
        <v>162</v>
      </c>
      <c r="CP72" s="3">
        <v>12345</v>
      </c>
      <c r="CQ72" s="3" t="s">
        <v>163</v>
      </c>
      <c r="CR72" s="246" t="s">
        <v>166</v>
      </c>
      <c r="CS72" s="247" t="s">
        <v>167</v>
      </c>
      <c r="CT72" s="246" t="s">
        <v>199</v>
      </c>
      <c r="CU72" s="247" t="s">
        <v>200</v>
      </c>
      <c r="CV72" s="3" t="str">
        <f t="shared" si="34"/>
        <v>99485;36523</v>
      </c>
      <c r="CW72" s="3" t="s">
        <v>168</v>
      </c>
      <c r="CX72" s="3" t="str">
        <f t="shared" si="35"/>
        <v>AB72;;BB72:BD72;;</v>
      </c>
      <c r="CY72" s="5" t="str">
        <f t="shared" si="36"/>
        <v>Unlock</v>
      </c>
      <c r="CZ72" s="5" t="str">
        <f t="shared" si="37"/>
        <v>Lock</v>
      </c>
      <c r="DA72" s="5" t="str">
        <f t="shared" si="38"/>
        <v>Lock</v>
      </c>
      <c r="DB72" s="5" t="str">
        <f t="shared" si="39"/>
        <v>Lock</v>
      </c>
      <c r="DC72" s="5" t="str">
        <f t="shared" si="40"/>
        <v>Lock</v>
      </c>
      <c r="DD72" s="78">
        <f t="shared" si="41"/>
        <v>2</v>
      </c>
      <c r="DE72" s="2"/>
      <c r="DF72" s="2"/>
      <c r="DG72" s="2"/>
      <c r="DH72" s="2"/>
      <c r="DI72" s="2"/>
      <c r="DJ72" s="2"/>
      <c r="DK72" s="5"/>
      <c r="DL72" s="2"/>
      <c r="DM72" s="2"/>
      <c r="DN72" s="2"/>
      <c r="DO72" s="2"/>
      <c r="DP72" s="2"/>
      <c r="DQ72" s="2"/>
      <c r="DR72" s="2"/>
      <c r="DS72" s="2"/>
      <c r="DT72" s="2"/>
      <c r="DU72" s="2"/>
      <c r="DV72" s="2"/>
      <c r="DW72" s="2"/>
      <c r="DX72" s="2"/>
      <c r="DY72" s="2"/>
      <c r="DZ72" s="2"/>
      <c r="EA72" s="2"/>
      <c r="EB72" s="2"/>
      <c r="EC72" s="2"/>
      <c r="ED72" s="2"/>
      <c r="EE72" s="2"/>
      <c r="EF72" s="1"/>
      <c r="EG72" s="98"/>
      <c r="EH72" s="98"/>
      <c r="EI72" s="1"/>
      <c r="EJ72" s="1"/>
      <c r="EK72" s="98"/>
      <c r="EL72" s="1"/>
    </row>
    <row r="73" spans="1:142">
      <c r="A73" s="32">
        <f t="shared" ref="A73:A136" si="46">F73</f>
        <v>3466</v>
      </c>
      <c r="B73" s="3" t="str">
        <f t="shared" ref="B73:B136" si="47">IF(C73&lt;&gt;"","sv_statement//"&amp;C73&amp;"//Export Statement&amp;PDFID="&amp;D73&amp;"&amp;SO=Y","")</f>
        <v>sv_statement//Statement//Export Statement&amp;PDFID=Jeffrey Mcgill_3466&amp;SO=Y</v>
      </c>
      <c r="C73" s="5" t="str">
        <f t="shared" si="42"/>
        <v>Statement</v>
      </c>
      <c r="D73" s="5" t="str">
        <f t="shared" ref="D73:D136" si="48">G73&amp;"_"&amp;F73</f>
        <v>Jeffrey Mcgill_3466</v>
      </c>
      <c r="E73" s="5"/>
      <c r="F73" s="5">
        <v>3466</v>
      </c>
      <c r="G73" s="22" t="s">
        <v>307</v>
      </c>
      <c r="H73" s="5" t="s">
        <v>214</v>
      </c>
      <c r="I73" s="5" t="s">
        <v>308</v>
      </c>
      <c r="J73" s="5" t="s">
        <v>208</v>
      </c>
      <c r="K73" s="5" t="s">
        <v>209</v>
      </c>
      <c r="L73" s="31">
        <f t="shared" ref="L73:L136" si="49">IFERROR(INDEX($F$9:$F$496,MATCH(M73,$G$9:$G$496,0)),"")</f>
        <v>20714</v>
      </c>
      <c r="M73" s="5" t="s">
        <v>198</v>
      </c>
      <c r="N73" s="22" t="s">
        <v>155</v>
      </c>
      <c r="O73" s="100">
        <v>37333</v>
      </c>
      <c r="P73" s="146">
        <f>VLOOKUP(I73,'Job Codes'!$B$2:$I$120,4,FALSE)</f>
        <v>27000</v>
      </c>
      <c r="Q73" s="146">
        <f>VLOOKUP(I73,'Job Codes'!$B$2:$I$120,5,FALSE)</f>
        <v>35100</v>
      </c>
      <c r="R73" s="146">
        <f>VLOOKUP(I73,'Job Codes'!$B$2:$I$120,6,FALSE)</f>
        <v>42120</v>
      </c>
      <c r="S73" s="22" t="s">
        <v>171</v>
      </c>
      <c r="T73" s="146">
        <v>29078</v>
      </c>
      <c r="U73" s="8">
        <f>VLOOKUP(S73,Data!$H$22:$I$25,2,FALSE)*T73</f>
        <v>29078</v>
      </c>
      <c r="V73" s="180">
        <f t="shared" ref="V73:V136" si="50">IFERROR(U73/Q73,0)</f>
        <v>0.82843304843304844</v>
      </c>
      <c r="W73" s="180">
        <f t="shared" ref="W73:W136" si="51">IF((Q73-U73)/U73&lt;0,0%,(Q73-U73)/U73)</f>
        <v>0.20709814980397551</v>
      </c>
      <c r="X73" s="22" t="str">
        <f t="shared" ref="X73:X136" si="52">IF(W73&gt;5%,"Yes","No")</f>
        <v>Yes</v>
      </c>
      <c r="Y73" s="180">
        <f t="shared" ref="Y73:Y136" si="53">IF(X73="Yes",2%,0)</f>
        <v>0.02</v>
      </c>
      <c r="Z73" s="146">
        <f t="shared" ref="Z73:Z136" si="54">IF(Y73=0,0,Y73*T73)</f>
        <v>581.56000000000006</v>
      </c>
      <c r="AA73" s="146">
        <f t="shared" ref="AA73:AA136" si="55">IF(Y73=0,0,Y73*U73)</f>
        <v>581.56000000000006</v>
      </c>
      <c r="AB73" s="72"/>
      <c r="AC73" s="146">
        <f>AB73/VLOOKUP(S73,Data!$H$22:$I$25,2,FALSE)</f>
        <v>0</v>
      </c>
      <c r="AD73" s="22" t="s">
        <v>157</v>
      </c>
      <c r="AE73" s="146">
        <f>VLOOKUP(S73,Data!$H$22:$J$25,3,FALSE)*T73</f>
        <v>872.33999999999992</v>
      </c>
      <c r="AF73" s="8">
        <f>VLOOKUP(S73,Data!$H$22:$I$25,2,FALSE)*AE73</f>
        <v>872.33999999999992</v>
      </c>
      <c r="AG73" s="8" t="s">
        <v>178</v>
      </c>
      <c r="AH73" s="23">
        <v>2.5000000000000001E-2</v>
      </c>
      <c r="AI73" s="72"/>
      <c r="AJ73" s="159">
        <f t="shared" ref="AJ73:AJ136" si="56">IFERROR(AL73/(U73+AB73),0)</f>
        <v>2.5000000000000001E-2</v>
      </c>
      <c r="AK73" s="168">
        <f t="shared" si="43"/>
        <v>726.95</v>
      </c>
      <c r="AL73" s="160">
        <f t="shared" si="44"/>
        <v>726.95</v>
      </c>
      <c r="AM73" s="168">
        <f t="shared" ref="AM73:AM136" si="57">T73+AC73+AK73</f>
        <v>29804.95</v>
      </c>
      <c r="AN73" s="160">
        <f t="shared" ref="AN73:AN136" si="58">U73+AB73+AL73</f>
        <v>29804.95</v>
      </c>
      <c r="AO73" s="160" t="str">
        <f t="shared" si="45"/>
        <v>No</v>
      </c>
      <c r="AP73" s="146">
        <f>IF(AQ73=0,0,AQ73/VLOOKUP(S73,Data!$H$22:$I$25,2,FALSE))</f>
        <v>0</v>
      </c>
      <c r="AQ73" s="183">
        <f t="shared" ref="AQ73:AQ136" si="59">IF(AN73&lt;R73,0,IF(R73-AN73&lt;0,IF(AN73-R73&gt;AL73,AL73,AN73-R73)))</f>
        <v>0</v>
      </c>
      <c r="AR73" s="165">
        <f t="shared" ref="AR73:AR136" si="60">IF(AK73-AP73&lt;0,0,AK73-AP73)</f>
        <v>726.95</v>
      </c>
      <c r="AS73" s="183">
        <f t="shared" ref="AS73:AS136" si="61">IF(AL73-AQ73&lt;0,0,AL73-AQ73)</f>
        <v>726.95</v>
      </c>
      <c r="AT73" s="250">
        <f t="shared" ref="AT73:AT136" si="62">IFERROR(AS73/(U73+AB73),0)</f>
        <v>2.5000000000000001E-2</v>
      </c>
      <c r="AU73" s="146">
        <f t="shared" ref="AU73:AU136" si="63">AR73+T73+AC73</f>
        <v>29804.95</v>
      </c>
      <c r="AV73" s="8">
        <f t="shared" ref="AV73:AV136" si="64">AS73+U73+AB73</f>
        <v>29804.95</v>
      </c>
      <c r="AW73" s="8" t="str">
        <f t="shared" ref="AW73:AW136" si="65">IF(AD73="No","Not Eligible for Merit",IF(AND(AH73&gt;0,AI73&gt;0),"Enter only % Increase OR $ Increase",IF(AND(AG73="Exceeds",OR(AJ73&lt;0.025,AJ73&gt;0.06)),"Not within guidelines",IF(AND(AG73="Meets",OR(AJ73&lt;0.01,AJ73&gt;0.025)),"Not within guidelines",IF(AND(AG73="Below",AJ73&lt;&gt;0),"Not within guidelines",IF(AND(AL73=AQ73,AQ73&gt;0),"Employee to receive full proposed merit increase as a lump sum",IF(AND(AQ73&gt;0,AQ73&lt;AL73),"Employee to receive part of proposed increase as a lump sum","")))))))</f>
        <v/>
      </c>
      <c r="AX73" s="180">
        <f t="shared" ref="AX73:AX136" si="66">IFERROR(AV73/Q73,0)</f>
        <v>0.84914387464387464</v>
      </c>
      <c r="AY73" s="146">
        <f t="shared" ref="AY73:AY136" si="67">IF(OR(AND(AG73="Exceeds",OR(AJ73&lt;0.025,AJ73&gt;0.06)),(AND(AG73="Meets",OR(AJ73&lt;0.01,AJ73&gt;0.025))),(AND(AG73="Below",OR(AJ73&gt;0,AJ73&lt;0))),(AND(AH73&lt;&gt;"",AI73&lt;&gt;"")))=TRUE,1,0)</f>
        <v>0</v>
      </c>
      <c r="AZ73" s="146">
        <f t="shared" ref="AZ73:AZ136" si="68">IF(ISERROR(AY73),1,AY73)</f>
        <v>0</v>
      </c>
      <c r="BA73" s="22" t="s">
        <v>159</v>
      </c>
      <c r="BB73" s="149"/>
      <c r="BC73" s="149"/>
      <c r="BD73" s="144"/>
      <c r="BE73" s="146" t="str">
        <f t="shared" ref="BE73:BE136" si="69">IF(BD73&gt;0,BD73*T73,"")</f>
        <v/>
      </c>
      <c r="BF73" s="8" t="str">
        <f t="shared" ref="BF73:BF136" si="70">IF(BD73&gt;0%,U73*BD73,"")</f>
        <v/>
      </c>
      <c r="BG73" s="8" t="str">
        <f>IF(LEN(BC73)&gt;0,VLOOKUP(BC73,'Job Codes'!B66:I184,7,FALSE),"")</f>
        <v/>
      </c>
      <c r="BH73" s="192" t="str">
        <f>IF(LEN(BC73)&gt;0,VLOOKUP(BC73,'Job Codes'!B66:I184,8,FALSE),"")</f>
        <v/>
      </c>
      <c r="BI73" s="192" t="str">
        <f>IF(LEN(BC73)&gt;0,VLOOKUP(BC73,'Job Codes'!$B$2:$J$120,9,FALSE),"")</f>
        <v/>
      </c>
      <c r="BJ73" s="146" t="str">
        <f>IF(LEN(BC73)&gt;0,VLOOKUP(BC73,'Job Codes'!$B$2:$I$120,4,FALSE),"")</f>
        <v/>
      </c>
      <c r="BK73" s="146" t="str">
        <f>IF(LEN(BC73)&gt;0,VLOOKUP(BC73,'Job Codes'!$B$2:$I$120,5,FALSE),"")</f>
        <v/>
      </c>
      <c r="BL73" s="146" t="str">
        <f>IF(LEN(BC73)&gt;0,VLOOKUP(BC73,'Job Codes'!$B$2:$I$120,6,FALSE),"")</f>
        <v/>
      </c>
      <c r="BM73" s="168">
        <f t="shared" ref="BM73:BM136" si="71">IF(BD73&gt;0,(T73+AR73+AC73+BE73),(T73+AR73+AC73))</f>
        <v>29804.95</v>
      </c>
      <c r="BN73" s="160">
        <f t="shared" ref="BN73:BN136" si="72">IF(BD73&gt;0,(U73+AB73+AS73+BF73),(U73+AB73+AS73))</f>
        <v>29804.95</v>
      </c>
      <c r="BO73" s="22" t="s">
        <v>157</v>
      </c>
      <c r="BP73" s="157">
        <f>VLOOKUP(I73,'Job Codes'!$B$2:$I$120,8,FALSE)</f>
        <v>0.05</v>
      </c>
      <c r="BQ73" s="25" t="str">
        <f>IF(O73&gt;Data!$H$33,"Yes","No")</f>
        <v>No</v>
      </c>
      <c r="BR73" s="191">
        <v>0.05</v>
      </c>
      <c r="BS73" s="150">
        <f t="shared" ref="BS73:BS136" si="73">BR73*T73</f>
        <v>1453.9</v>
      </c>
      <c r="BT73" s="25">
        <f t="shared" ref="BT73:BT136" si="74">BR73*U73</f>
        <v>1453.9</v>
      </c>
      <c r="BU73" s="161">
        <v>1</v>
      </c>
      <c r="BV73" s="168">
        <f t="shared" ref="BV73:BV136" si="75">IF(BO73="Yes",BU73*BS73,0)</f>
        <v>1453.9</v>
      </c>
      <c r="BW73" s="160">
        <f t="shared" ref="BW73:BW136" si="76">IF(BO73="Yes",BU73*BT73,0)</f>
        <v>1453.9</v>
      </c>
      <c r="BX73" s="149"/>
      <c r="BY73" s="32">
        <f t="shared" ref="BY73:BY136" si="77">IF(AND(BU73&gt;1,(ISBLANK(BX73))),1,0)</f>
        <v>0</v>
      </c>
      <c r="BZ73" s="22" t="s">
        <v>159</v>
      </c>
      <c r="CA73" s="231">
        <f>VLOOKUP(I73,'Job Codes'!$B$2:$J$120,9,FALSE)</f>
        <v>0</v>
      </c>
      <c r="CB73" s="253">
        <f t="shared" ref="CB73:CB136" si="78">IF(CA73=0,0,CA73*U73)</f>
        <v>0</v>
      </c>
      <c r="CC73" s="72"/>
      <c r="CD73" s="25" t="str">
        <f t="shared" ref="CD73:CD136" si="79">AG73</f>
        <v>Meets</v>
      </c>
      <c r="CE73" s="27"/>
      <c r="CF73" s="27"/>
      <c r="CG73" s="27"/>
      <c r="CH73" s="27"/>
      <c r="CI73" s="27"/>
      <c r="CJ73" s="3"/>
      <c r="CK73" s="3"/>
      <c r="CL73" s="3">
        <v>4569</v>
      </c>
      <c r="CM73" s="3" t="s">
        <v>161</v>
      </c>
      <c r="CN73" s="3">
        <v>4571</v>
      </c>
      <c r="CO73" s="3" t="s">
        <v>162</v>
      </c>
      <c r="CP73" s="3">
        <v>12345</v>
      </c>
      <c r="CQ73" s="3" t="s">
        <v>163</v>
      </c>
      <c r="CR73" s="246" t="s">
        <v>164</v>
      </c>
      <c r="CS73" s="247" t="s">
        <v>165</v>
      </c>
      <c r="CT73" s="246" t="s">
        <v>166</v>
      </c>
      <c r="CU73" s="247" t="s">
        <v>167</v>
      </c>
      <c r="CV73" s="3" t="str">
        <f t="shared" ref="CV73:CV136" si="80">CR73&amp;";"&amp;CT73</f>
        <v>67890;99485</v>
      </c>
      <c r="CW73" s="3" t="s">
        <v>168</v>
      </c>
      <c r="CX73" s="3" t="str">
        <f t="shared" ref="CX73:CX136" si="81">IF(X73="No","AB"&amp;ROW(),"")&amp;";"&amp;IF(AD73="No","AH"&amp;ROW()&amp;";"&amp;"AI"&amp;ROW(),"")&amp;";"&amp;IF(BA73="No","BB"&amp;ROW()&amp;":"&amp;"BD"&amp;ROW(),"")&amp;";"&amp;IF(BO73="No","BU"&amp;ROW()&amp;";"&amp;"BX"&amp;ROW(),""&amp;";"&amp;IF(BZ73="No","CC"&amp;ROW(),""))</f>
        <v>;;BB73:BD73;;CC73</v>
      </c>
      <c r="CY73" s="5" t="str">
        <f t="shared" ref="CY73:CY136" si="82">IF(CE73="Submitted","Lock","Unlock")</f>
        <v>Unlock</v>
      </c>
      <c r="CZ73" s="5" t="str">
        <f t="shared" ref="CZ73:CZ136" si="83">IF(OR(CE73="",DD73&gt;2,CF73="Approved",CK73=""),"Lock","Unlock")</f>
        <v>Lock</v>
      </c>
      <c r="DA73" s="5" t="str">
        <f t="shared" ref="DA73:DA136" si="84">IF(OR(CE73="",DD73&gt;3,CG73="Approved",CM73="",AND(DD73=2,CK73&lt;&gt;"",CF73="")),"Lock","Unlock")</f>
        <v>Lock</v>
      </c>
      <c r="DB73" s="5" t="str">
        <f t="shared" ref="DB73:DB136" si="85">IF(OR(CE73="",DD73="Final",CH73="Approved",CO73="",AND(DD73=2,CK73&lt;&gt;"",CF73=""),AND(DD73=3,CM73&lt;&gt;"",CG73="")),"Lock","Unlock")</f>
        <v>Lock</v>
      </c>
      <c r="DC73" s="5" t="str">
        <f t="shared" ref="DC73:DC136" si="86">IF(OR(CE73="",CI73="Approved",AND(DD73&lt;&gt;"Final",CK73&lt;&gt;"",CF73=""),AND(DD73&lt;&gt;"Final",CM73&lt;&gt;"",CG73=""),AND(DD73&lt;&gt;"Final",CO73&lt;&gt;"",CH73="")),"Lock","Unlock")</f>
        <v>Lock</v>
      </c>
      <c r="DD73" s="78">
        <f t="shared" ref="DD73:DD136" si="87">IF(CK73&lt;&gt;"",2,IF(CM73&lt;&gt;"",3,IF(CO73&lt;&gt;"",4,IF(CQ73&lt;&gt;"","Final"))))</f>
        <v>3</v>
      </c>
      <c r="DE73" s="2"/>
      <c r="DF73" s="2"/>
      <c r="DG73" s="2"/>
      <c r="DH73" s="2"/>
      <c r="DI73" s="2"/>
      <c r="DJ73" s="2"/>
      <c r="DK73" s="5"/>
      <c r="DL73" s="2"/>
      <c r="DM73" s="2"/>
      <c r="DN73" s="2"/>
      <c r="DO73" s="2"/>
      <c r="DP73" s="2"/>
      <c r="DQ73" s="2"/>
      <c r="DR73" s="2"/>
      <c r="DS73" s="2"/>
      <c r="DT73" s="2"/>
      <c r="DU73" s="2"/>
      <c r="DV73" s="2"/>
      <c r="DW73" s="2"/>
      <c r="DX73" s="2"/>
      <c r="DY73" s="2"/>
      <c r="DZ73" s="2"/>
      <c r="EA73" s="2"/>
      <c r="EB73" s="2"/>
      <c r="EC73" s="2"/>
      <c r="ED73" s="2"/>
      <c r="EE73" s="2"/>
      <c r="EF73" s="1"/>
      <c r="EG73" s="98"/>
      <c r="EH73" s="98"/>
      <c r="EI73" s="1"/>
      <c r="EJ73" s="1"/>
      <c r="EK73" s="98"/>
      <c r="EL73" s="1"/>
    </row>
    <row r="74" spans="1:142">
      <c r="A74" s="32">
        <f t="shared" si="46"/>
        <v>3511</v>
      </c>
      <c r="B74" s="3" t="str">
        <f t="shared" si="47"/>
        <v>sv_statement//Statement//Export Statement&amp;PDFID=Eric Lynch_3511&amp;SO=Y</v>
      </c>
      <c r="C74" s="5" t="str">
        <f t="shared" ref="C74:C137" si="88">IF(OR(AD74="Yes",BA74="Yes",BO74="Yes"),CW74,"")</f>
        <v>Statement</v>
      </c>
      <c r="D74" s="5" t="str">
        <f t="shared" si="48"/>
        <v>Eric Lynch_3511</v>
      </c>
      <c r="E74" s="5"/>
      <c r="F74" s="5">
        <v>3511</v>
      </c>
      <c r="G74" s="22" t="s">
        <v>309</v>
      </c>
      <c r="H74" s="5" t="s">
        <v>250</v>
      </c>
      <c r="I74" s="5" t="s">
        <v>310</v>
      </c>
      <c r="J74" s="5" t="s">
        <v>220</v>
      </c>
      <c r="K74" s="5" t="s">
        <v>221</v>
      </c>
      <c r="L74" s="31">
        <f t="shared" si="49"/>
        <v>29269</v>
      </c>
      <c r="M74" s="5" t="s">
        <v>287</v>
      </c>
      <c r="N74" s="22" t="s">
        <v>155</v>
      </c>
      <c r="O74" s="100">
        <v>37508</v>
      </c>
      <c r="P74" s="146">
        <f>VLOOKUP(I74,'Job Codes'!$B$2:$I$120,4,FALSE)</f>
        <v>20000</v>
      </c>
      <c r="Q74" s="146">
        <f>VLOOKUP(I74,'Job Codes'!$B$2:$I$120,5,FALSE)</f>
        <v>26000</v>
      </c>
      <c r="R74" s="146">
        <f>VLOOKUP(I74,'Job Codes'!$B$2:$I$120,6,FALSE)</f>
        <v>31200</v>
      </c>
      <c r="S74" s="22" t="s">
        <v>171</v>
      </c>
      <c r="T74" s="146">
        <v>31500</v>
      </c>
      <c r="U74" s="8">
        <f>VLOOKUP(S74,Data!$H$22:$I$25,2,FALSE)*T74</f>
        <v>31500</v>
      </c>
      <c r="V74" s="180">
        <f t="shared" si="50"/>
        <v>1.2115384615384615</v>
      </c>
      <c r="W74" s="180">
        <f t="shared" si="51"/>
        <v>0</v>
      </c>
      <c r="X74" s="22" t="str">
        <f t="shared" si="52"/>
        <v>No</v>
      </c>
      <c r="Y74" s="180">
        <f t="shared" si="53"/>
        <v>0</v>
      </c>
      <c r="Z74" s="146">
        <f t="shared" si="54"/>
        <v>0</v>
      </c>
      <c r="AA74" s="146">
        <f t="shared" si="55"/>
        <v>0</v>
      </c>
      <c r="AB74" s="72"/>
      <c r="AC74" s="146">
        <f>AB74/VLOOKUP(S74,Data!$H$22:$I$25,2,FALSE)</f>
        <v>0</v>
      </c>
      <c r="AD74" s="22" t="s">
        <v>157</v>
      </c>
      <c r="AE74" s="146">
        <f>VLOOKUP(S74,Data!$H$22:$J$25,3,FALSE)*T74</f>
        <v>945</v>
      </c>
      <c r="AF74" s="8">
        <f>VLOOKUP(S74,Data!$H$22:$I$25,2,FALSE)*AE74</f>
        <v>945</v>
      </c>
      <c r="AG74" s="8" t="s">
        <v>158</v>
      </c>
      <c r="AH74" s="23">
        <v>3.5000000000000003E-2</v>
      </c>
      <c r="AI74" s="72"/>
      <c r="AJ74" s="159">
        <f t="shared" si="56"/>
        <v>3.5000000000000003E-2</v>
      </c>
      <c r="AK74" s="168">
        <f t="shared" ref="AK74:AK137" si="89">AJ74*(T74+AC74)</f>
        <v>1102.5</v>
      </c>
      <c r="AL74" s="160">
        <f t="shared" ref="AL74:AL137" si="90">IF(AH74="",AI74,(U74+AB74)*AH74)</f>
        <v>1102.5</v>
      </c>
      <c r="AM74" s="168">
        <f t="shared" si="57"/>
        <v>32602.5</v>
      </c>
      <c r="AN74" s="160">
        <f t="shared" si="58"/>
        <v>32602.5</v>
      </c>
      <c r="AO74" s="160" t="str">
        <f t="shared" ref="AO74:AO137" si="91">IF(AN74&gt;R74,"Yes by USD "&amp;TEXT((AN74-R74),"#,##0"),"No")</f>
        <v>Yes by USD 1,403</v>
      </c>
      <c r="AP74" s="146">
        <f>IF(AQ74=0,0,AQ74/VLOOKUP(S74,Data!$H$22:$I$25,2,FALSE))</f>
        <v>1102.5</v>
      </c>
      <c r="AQ74" s="183">
        <f t="shared" si="59"/>
        <v>1102.5</v>
      </c>
      <c r="AR74" s="165">
        <f t="shared" si="60"/>
        <v>0</v>
      </c>
      <c r="AS74" s="183">
        <f t="shared" si="61"/>
        <v>0</v>
      </c>
      <c r="AT74" s="250">
        <f t="shared" si="62"/>
        <v>0</v>
      </c>
      <c r="AU74" s="146">
        <f t="shared" si="63"/>
        <v>31500</v>
      </c>
      <c r="AV74" s="8">
        <f t="shared" si="64"/>
        <v>31500</v>
      </c>
      <c r="AW74" s="8" t="str">
        <f t="shared" si="65"/>
        <v>Employee to receive full proposed merit increase as a lump sum</v>
      </c>
      <c r="AX74" s="180">
        <f t="shared" si="66"/>
        <v>1.2115384615384615</v>
      </c>
      <c r="AY74" s="146">
        <f t="shared" si="67"/>
        <v>0</v>
      </c>
      <c r="AZ74" s="146">
        <f t="shared" si="68"/>
        <v>0</v>
      </c>
      <c r="BA74" s="22" t="s">
        <v>159</v>
      </c>
      <c r="BB74" s="149"/>
      <c r="BC74" s="149"/>
      <c r="BD74" s="144"/>
      <c r="BE74" s="146" t="str">
        <f t="shared" si="69"/>
        <v/>
      </c>
      <c r="BF74" s="8" t="str">
        <f t="shared" si="70"/>
        <v/>
      </c>
      <c r="BG74" s="8" t="str">
        <f>IF(LEN(BC74)&gt;0,VLOOKUP(BC74,'Job Codes'!B67:I185,7,FALSE),"")</f>
        <v/>
      </c>
      <c r="BH74" s="192" t="str">
        <f>IF(LEN(BC74)&gt;0,VLOOKUP(BC74,'Job Codes'!B67:I185,8,FALSE),"")</f>
        <v/>
      </c>
      <c r="BI74" s="192" t="str">
        <f>IF(LEN(BC74)&gt;0,VLOOKUP(BC74,'Job Codes'!$B$2:$J$120,9,FALSE),"")</f>
        <v/>
      </c>
      <c r="BJ74" s="146" t="str">
        <f>IF(LEN(BC74)&gt;0,VLOOKUP(BC74,'Job Codes'!$B$2:$I$120,4,FALSE),"")</f>
        <v/>
      </c>
      <c r="BK74" s="146" t="str">
        <f>IF(LEN(BC74)&gt;0,VLOOKUP(BC74,'Job Codes'!$B$2:$I$120,5,FALSE),"")</f>
        <v/>
      </c>
      <c r="BL74" s="146" t="str">
        <f>IF(LEN(BC74)&gt;0,VLOOKUP(BC74,'Job Codes'!$B$2:$I$120,6,FALSE),"")</f>
        <v/>
      </c>
      <c r="BM74" s="168">
        <f t="shared" si="71"/>
        <v>31500</v>
      </c>
      <c r="BN74" s="160">
        <f t="shared" si="72"/>
        <v>31500</v>
      </c>
      <c r="BO74" s="22" t="s">
        <v>159</v>
      </c>
      <c r="BP74" s="157">
        <f>VLOOKUP(I74,'Job Codes'!$B$2:$I$120,8,FALSE)</f>
        <v>0</v>
      </c>
      <c r="BQ74" s="25" t="str">
        <f>IF(O74&gt;Data!$H$33,"Yes","No")</f>
        <v>No</v>
      </c>
      <c r="BR74" s="191">
        <v>0</v>
      </c>
      <c r="BS74" s="150">
        <f t="shared" si="73"/>
        <v>0</v>
      </c>
      <c r="BT74" s="25">
        <f t="shared" si="74"/>
        <v>0</v>
      </c>
      <c r="BU74" s="161">
        <v>1</v>
      </c>
      <c r="BV74" s="168">
        <f t="shared" si="75"/>
        <v>0</v>
      </c>
      <c r="BW74" s="160">
        <f t="shared" si="76"/>
        <v>0</v>
      </c>
      <c r="BX74" s="149"/>
      <c r="BY74" s="32">
        <f t="shared" si="77"/>
        <v>0</v>
      </c>
      <c r="BZ74" s="22" t="s">
        <v>159</v>
      </c>
      <c r="CA74" s="231">
        <f>VLOOKUP(I74,'Job Codes'!$B$2:$J$120,9,FALSE)</f>
        <v>0</v>
      </c>
      <c r="CB74" s="253">
        <f t="shared" si="78"/>
        <v>0</v>
      </c>
      <c r="CC74" s="72"/>
      <c r="CD74" s="25" t="str">
        <f t="shared" si="79"/>
        <v>Exceeds</v>
      </c>
      <c r="CE74" s="27"/>
      <c r="CF74" s="27"/>
      <c r="CG74" s="27"/>
      <c r="CH74" s="27"/>
      <c r="CI74" s="27"/>
      <c r="CJ74" s="3">
        <v>29271</v>
      </c>
      <c r="CK74" s="3" t="s">
        <v>255</v>
      </c>
      <c r="CL74" s="3">
        <v>4569</v>
      </c>
      <c r="CM74" s="3" t="s">
        <v>161</v>
      </c>
      <c r="CN74" s="3">
        <v>4571</v>
      </c>
      <c r="CO74" s="3" t="s">
        <v>162</v>
      </c>
      <c r="CP74" s="3">
        <v>12345</v>
      </c>
      <c r="CQ74" s="3" t="s">
        <v>163</v>
      </c>
      <c r="CR74" s="246" t="s">
        <v>164</v>
      </c>
      <c r="CS74" s="5" t="s">
        <v>165</v>
      </c>
      <c r="CT74" s="246" t="s">
        <v>256</v>
      </c>
      <c r="CU74" s="247" t="s">
        <v>257</v>
      </c>
      <c r="CV74" s="3" t="str">
        <f t="shared" si="80"/>
        <v>67890;86672</v>
      </c>
      <c r="CW74" s="3" t="s">
        <v>168</v>
      </c>
      <c r="CX74" s="3" t="str">
        <f t="shared" si="81"/>
        <v>AB74;;BB74:BD74;BU74;BX74</v>
      </c>
      <c r="CY74" s="5" t="str">
        <f t="shared" si="82"/>
        <v>Unlock</v>
      </c>
      <c r="CZ74" s="5" t="str">
        <f t="shared" si="83"/>
        <v>Lock</v>
      </c>
      <c r="DA74" s="5" t="str">
        <f t="shared" si="84"/>
        <v>Lock</v>
      </c>
      <c r="DB74" s="5" t="str">
        <f t="shared" si="85"/>
        <v>Lock</v>
      </c>
      <c r="DC74" s="5" t="str">
        <f t="shared" si="86"/>
        <v>Lock</v>
      </c>
      <c r="DD74" s="78">
        <f t="shared" si="87"/>
        <v>2</v>
      </c>
      <c r="DE74" s="2"/>
      <c r="DF74" s="2"/>
      <c r="DG74" s="2"/>
      <c r="DH74" s="2"/>
      <c r="DI74" s="2"/>
      <c r="DJ74" s="2"/>
      <c r="DK74" s="5"/>
      <c r="DL74" s="2"/>
      <c r="DM74" s="2"/>
      <c r="DN74" s="2"/>
      <c r="DO74" s="2"/>
      <c r="DP74" s="2"/>
      <c r="DQ74" s="2"/>
      <c r="DR74" s="2"/>
      <c r="DS74" s="2"/>
      <c r="DT74" s="2"/>
      <c r="DU74" s="2"/>
      <c r="DV74" s="2"/>
      <c r="DW74" s="2"/>
      <c r="DX74" s="2"/>
      <c r="DY74" s="2"/>
      <c r="DZ74" s="2"/>
      <c r="EA74" s="2"/>
      <c r="EB74" s="2"/>
      <c r="EC74" s="2"/>
      <c r="ED74" s="2"/>
      <c r="EE74" s="2"/>
      <c r="EF74" s="1"/>
      <c r="EG74" s="98"/>
      <c r="EH74" s="98"/>
      <c r="EI74" s="1"/>
      <c r="EJ74" s="1"/>
      <c r="EK74" s="98"/>
      <c r="EL74" s="1"/>
    </row>
    <row r="75" spans="1:142">
      <c r="A75" s="32">
        <f t="shared" si="46"/>
        <v>3518</v>
      </c>
      <c r="B75" s="3" t="str">
        <f t="shared" si="47"/>
        <v>sv_statement//Statement//Export Statement&amp;PDFID=Cora Lunn_3518&amp;SO=Y</v>
      </c>
      <c r="C75" s="5" t="str">
        <f t="shared" si="88"/>
        <v>Statement</v>
      </c>
      <c r="D75" s="5" t="str">
        <f t="shared" si="48"/>
        <v>Cora Lunn_3518</v>
      </c>
      <c r="E75" s="5"/>
      <c r="F75" s="5">
        <v>3518</v>
      </c>
      <c r="G75" s="22" t="s">
        <v>311</v>
      </c>
      <c r="H75" s="5" t="s">
        <v>250</v>
      </c>
      <c r="I75" s="5" t="s">
        <v>312</v>
      </c>
      <c r="J75" s="5" t="s">
        <v>220</v>
      </c>
      <c r="K75" s="5" t="s">
        <v>221</v>
      </c>
      <c r="L75" s="31">
        <f t="shared" si="49"/>
        <v>29269</v>
      </c>
      <c r="M75" s="5" t="s">
        <v>287</v>
      </c>
      <c r="N75" s="22" t="s">
        <v>155</v>
      </c>
      <c r="O75" s="100">
        <v>37515</v>
      </c>
      <c r="P75" s="146">
        <f>VLOOKUP(I75,'Job Codes'!$B$2:$I$120,4,FALSE)</f>
        <v>23000</v>
      </c>
      <c r="Q75" s="146">
        <f>VLOOKUP(I75,'Job Codes'!$B$2:$I$120,5,FALSE)</f>
        <v>29900</v>
      </c>
      <c r="R75" s="146">
        <f>VLOOKUP(I75,'Job Codes'!$B$2:$I$120,6,FALSE)</f>
        <v>35880</v>
      </c>
      <c r="S75" s="22" t="s">
        <v>171</v>
      </c>
      <c r="T75" s="146">
        <v>28558</v>
      </c>
      <c r="U75" s="8">
        <f>VLOOKUP(S75,Data!$H$22:$I$25,2,FALSE)*T75</f>
        <v>28558</v>
      </c>
      <c r="V75" s="180">
        <f t="shared" si="50"/>
        <v>0.95511705685618731</v>
      </c>
      <c r="W75" s="180">
        <f t="shared" si="51"/>
        <v>4.6992086280551862E-2</v>
      </c>
      <c r="X75" s="22" t="str">
        <f t="shared" si="52"/>
        <v>No</v>
      </c>
      <c r="Y75" s="180">
        <f t="shared" si="53"/>
        <v>0</v>
      </c>
      <c r="Z75" s="146">
        <f t="shared" si="54"/>
        <v>0</v>
      </c>
      <c r="AA75" s="146">
        <f t="shared" si="55"/>
        <v>0</v>
      </c>
      <c r="AB75" s="72"/>
      <c r="AC75" s="146">
        <f>AB75/VLOOKUP(S75,Data!$H$22:$I$25,2,FALSE)</f>
        <v>0</v>
      </c>
      <c r="AD75" s="22" t="s">
        <v>157</v>
      </c>
      <c r="AE75" s="146">
        <f>VLOOKUP(S75,Data!$H$22:$J$25,3,FALSE)*T75</f>
        <v>856.74</v>
      </c>
      <c r="AF75" s="8">
        <f>VLOOKUP(S75,Data!$H$22:$I$25,2,FALSE)*AE75</f>
        <v>856.74</v>
      </c>
      <c r="AG75" s="8" t="s">
        <v>178</v>
      </c>
      <c r="AH75" s="23">
        <v>2.5000000000000001E-2</v>
      </c>
      <c r="AI75" s="72"/>
      <c r="AJ75" s="159">
        <f t="shared" si="56"/>
        <v>2.5000000000000001E-2</v>
      </c>
      <c r="AK75" s="168">
        <f t="shared" si="89"/>
        <v>713.95</v>
      </c>
      <c r="AL75" s="160">
        <f t="shared" si="90"/>
        <v>713.95</v>
      </c>
      <c r="AM75" s="168">
        <f t="shared" si="57"/>
        <v>29271.95</v>
      </c>
      <c r="AN75" s="160">
        <f t="shared" si="58"/>
        <v>29271.95</v>
      </c>
      <c r="AO75" s="160" t="str">
        <f t="shared" si="91"/>
        <v>No</v>
      </c>
      <c r="AP75" s="146">
        <f>IF(AQ75=0,0,AQ75/VLOOKUP(S75,Data!$H$22:$I$25,2,FALSE))</f>
        <v>0</v>
      </c>
      <c r="AQ75" s="183">
        <f t="shared" si="59"/>
        <v>0</v>
      </c>
      <c r="AR75" s="165">
        <f t="shared" si="60"/>
        <v>713.95</v>
      </c>
      <c r="AS75" s="183">
        <f t="shared" si="61"/>
        <v>713.95</v>
      </c>
      <c r="AT75" s="250">
        <f t="shared" si="62"/>
        <v>2.5000000000000001E-2</v>
      </c>
      <c r="AU75" s="146">
        <f t="shared" si="63"/>
        <v>29271.95</v>
      </c>
      <c r="AV75" s="8">
        <f t="shared" si="64"/>
        <v>29271.95</v>
      </c>
      <c r="AW75" s="8" t="str">
        <f t="shared" si="65"/>
        <v/>
      </c>
      <c r="AX75" s="180">
        <f t="shared" si="66"/>
        <v>0.97899498327759205</v>
      </c>
      <c r="AY75" s="146">
        <f t="shared" si="67"/>
        <v>0</v>
      </c>
      <c r="AZ75" s="146">
        <f t="shared" si="68"/>
        <v>0</v>
      </c>
      <c r="BA75" s="22" t="s">
        <v>159</v>
      </c>
      <c r="BB75" s="149"/>
      <c r="BC75" s="149"/>
      <c r="BD75" s="144"/>
      <c r="BE75" s="146" t="str">
        <f t="shared" si="69"/>
        <v/>
      </c>
      <c r="BF75" s="8" t="str">
        <f t="shared" si="70"/>
        <v/>
      </c>
      <c r="BG75" s="8" t="str">
        <f>IF(LEN(BC75)&gt;0,VLOOKUP(BC75,'Job Codes'!B68:I186,7,FALSE),"")</f>
        <v/>
      </c>
      <c r="BH75" s="192" t="str">
        <f>IF(LEN(BC75)&gt;0,VLOOKUP(BC75,'Job Codes'!B68:I186,8,FALSE),"")</f>
        <v/>
      </c>
      <c r="BI75" s="192" t="str">
        <f>IF(LEN(BC75)&gt;0,VLOOKUP(BC75,'Job Codes'!$B$2:$J$120,9,FALSE),"")</f>
        <v/>
      </c>
      <c r="BJ75" s="146" t="str">
        <f>IF(LEN(BC75)&gt;0,VLOOKUP(BC75,'Job Codes'!$B$2:$I$120,4,FALSE),"")</f>
        <v/>
      </c>
      <c r="BK75" s="146" t="str">
        <f>IF(LEN(BC75)&gt;0,VLOOKUP(BC75,'Job Codes'!$B$2:$I$120,5,FALSE),"")</f>
        <v/>
      </c>
      <c r="BL75" s="146" t="str">
        <f>IF(LEN(BC75)&gt;0,VLOOKUP(BC75,'Job Codes'!$B$2:$I$120,6,FALSE),"")</f>
        <v/>
      </c>
      <c r="BM75" s="168">
        <f t="shared" si="71"/>
        <v>29271.95</v>
      </c>
      <c r="BN75" s="160">
        <f t="shared" si="72"/>
        <v>29271.95</v>
      </c>
      <c r="BO75" s="22" t="s">
        <v>159</v>
      </c>
      <c r="BP75" s="157">
        <f>VLOOKUP(I75,'Job Codes'!$B$2:$I$120,8,FALSE)</f>
        <v>0</v>
      </c>
      <c r="BQ75" s="25" t="str">
        <f>IF(O75&gt;Data!$H$33,"Yes","No")</f>
        <v>No</v>
      </c>
      <c r="BR75" s="191">
        <v>0</v>
      </c>
      <c r="BS75" s="150">
        <f t="shared" si="73"/>
        <v>0</v>
      </c>
      <c r="BT75" s="25">
        <f t="shared" si="74"/>
        <v>0</v>
      </c>
      <c r="BU75" s="161">
        <v>1</v>
      </c>
      <c r="BV75" s="168">
        <f t="shared" si="75"/>
        <v>0</v>
      </c>
      <c r="BW75" s="160">
        <f t="shared" si="76"/>
        <v>0</v>
      </c>
      <c r="BX75" s="149"/>
      <c r="BY75" s="32">
        <f t="shared" si="77"/>
        <v>0</v>
      </c>
      <c r="BZ75" s="22" t="s">
        <v>159</v>
      </c>
      <c r="CA75" s="231">
        <f>VLOOKUP(I75,'Job Codes'!$B$2:$J$120,9,FALSE)</f>
        <v>0</v>
      </c>
      <c r="CB75" s="253">
        <f t="shared" si="78"/>
        <v>0</v>
      </c>
      <c r="CC75" s="72"/>
      <c r="CD75" s="25" t="str">
        <f t="shared" si="79"/>
        <v>Meets</v>
      </c>
      <c r="CE75" s="27"/>
      <c r="CF75" s="27"/>
      <c r="CG75" s="27"/>
      <c r="CH75" s="27"/>
      <c r="CI75" s="27"/>
      <c r="CJ75" s="3">
        <v>29271</v>
      </c>
      <c r="CK75" s="3" t="s">
        <v>255</v>
      </c>
      <c r="CL75" s="3">
        <v>4569</v>
      </c>
      <c r="CM75" s="3" t="s">
        <v>161</v>
      </c>
      <c r="CN75" s="3">
        <v>4571</v>
      </c>
      <c r="CO75" s="3" t="s">
        <v>162</v>
      </c>
      <c r="CP75" s="3">
        <v>12345</v>
      </c>
      <c r="CQ75" s="3" t="s">
        <v>163</v>
      </c>
      <c r="CR75" s="246" t="s">
        <v>164</v>
      </c>
      <c r="CS75" s="5" t="s">
        <v>165</v>
      </c>
      <c r="CT75" s="246" t="s">
        <v>256</v>
      </c>
      <c r="CU75" s="247" t="s">
        <v>257</v>
      </c>
      <c r="CV75" s="3" t="str">
        <f t="shared" si="80"/>
        <v>67890;86672</v>
      </c>
      <c r="CW75" s="3" t="s">
        <v>168</v>
      </c>
      <c r="CX75" s="3" t="str">
        <f t="shared" si="81"/>
        <v>AB75;;BB75:BD75;BU75;BX75</v>
      </c>
      <c r="CY75" s="5" t="str">
        <f t="shared" si="82"/>
        <v>Unlock</v>
      </c>
      <c r="CZ75" s="5" t="str">
        <f t="shared" si="83"/>
        <v>Lock</v>
      </c>
      <c r="DA75" s="5" t="str">
        <f t="shared" si="84"/>
        <v>Lock</v>
      </c>
      <c r="DB75" s="5" t="str">
        <f t="shared" si="85"/>
        <v>Lock</v>
      </c>
      <c r="DC75" s="5" t="str">
        <f t="shared" si="86"/>
        <v>Lock</v>
      </c>
      <c r="DD75" s="78">
        <f t="shared" si="87"/>
        <v>2</v>
      </c>
      <c r="DE75" s="2"/>
      <c r="DF75" s="2"/>
      <c r="DG75" s="2"/>
      <c r="DH75" s="2"/>
      <c r="DI75" s="2"/>
      <c r="DJ75" s="2"/>
      <c r="DK75" s="5"/>
      <c r="DL75" s="2"/>
      <c r="DM75" s="2"/>
      <c r="DN75" s="2"/>
      <c r="DO75" s="2"/>
      <c r="DP75" s="2"/>
      <c r="DQ75" s="2"/>
      <c r="DR75" s="2"/>
      <c r="DS75" s="2"/>
      <c r="DT75" s="2"/>
      <c r="DU75" s="2"/>
      <c r="DV75" s="2"/>
      <c r="DW75" s="2"/>
      <c r="DX75" s="2"/>
      <c r="DY75" s="2"/>
      <c r="DZ75" s="2"/>
      <c r="EA75" s="2"/>
      <c r="EB75" s="2"/>
      <c r="EC75" s="2"/>
      <c r="ED75" s="2"/>
      <c r="EE75" s="2"/>
      <c r="EF75" s="1"/>
      <c r="EG75" s="98"/>
      <c r="EH75" s="98"/>
      <c r="EI75" s="1"/>
      <c r="EJ75" s="1"/>
      <c r="EK75" s="98"/>
      <c r="EL75" s="1"/>
    </row>
    <row r="76" spans="1:142">
      <c r="A76" s="32">
        <f t="shared" si="46"/>
        <v>3533</v>
      </c>
      <c r="B76" s="3" t="str">
        <f t="shared" si="47"/>
        <v>sv_statement//Statement//Export Statement&amp;PDFID=Susan Sommerville_3533&amp;SO=Y</v>
      </c>
      <c r="C76" s="5" t="str">
        <f t="shared" si="88"/>
        <v>Statement</v>
      </c>
      <c r="D76" s="5" t="str">
        <f t="shared" si="48"/>
        <v>Susan Sommerville_3533</v>
      </c>
      <c r="E76" s="5"/>
      <c r="F76" s="5">
        <v>3533</v>
      </c>
      <c r="G76" s="22" t="s">
        <v>313</v>
      </c>
      <c r="H76" s="5" t="s">
        <v>250</v>
      </c>
      <c r="I76" s="5" t="s">
        <v>314</v>
      </c>
      <c r="J76" s="5" t="s">
        <v>220</v>
      </c>
      <c r="K76" s="5" t="s">
        <v>221</v>
      </c>
      <c r="L76" s="31">
        <f t="shared" si="49"/>
        <v>29269</v>
      </c>
      <c r="M76" s="5" t="s">
        <v>287</v>
      </c>
      <c r="N76" s="22" t="s">
        <v>155</v>
      </c>
      <c r="O76" s="100">
        <v>37522</v>
      </c>
      <c r="P76" s="146">
        <f>VLOOKUP(I76,'Job Codes'!$B$2:$I$120,4,FALSE)</f>
        <v>23000</v>
      </c>
      <c r="Q76" s="146">
        <f>VLOOKUP(I76,'Job Codes'!$B$2:$I$120,5,FALSE)</f>
        <v>29900</v>
      </c>
      <c r="R76" s="146">
        <f>VLOOKUP(I76,'Job Codes'!$B$2:$I$120,6,FALSE)</f>
        <v>35880</v>
      </c>
      <c r="S76" s="22" t="s">
        <v>171</v>
      </c>
      <c r="T76" s="146">
        <v>31000</v>
      </c>
      <c r="U76" s="8">
        <f>VLOOKUP(S76,Data!$H$22:$I$25,2,FALSE)*T76</f>
        <v>31000</v>
      </c>
      <c r="V76" s="180">
        <f t="shared" si="50"/>
        <v>1.0367892976588629</v>
      </c>
      <c r="W76" s="180">
        <f t="shared" si="51"/>
        <v>0</v>
      </c>
      <c r="X76" s="22" t="str">
        <f t="shared" si="52"/>
        <v>No</v>
      </c>
      <c r="Y76" s="180">
        <f t="shared" si="53"/>
        <v>0</v>
      </c>
      <c r="Z76" s="146">
        <f t="shared" si="54"/>
        <v>0</v>
      </c>
      <c r="AA76" s="146">
        <f t="shared" si="55"/>
        <v>0</v>
      </c>
      <c r="AB76" s="72"/>
      <c r="AC76" s="146">
        <f>AB76/VLOOKUP(S76,Data!$H$22:$I$25,2,FALSE)</f>
        <v>0</v>
      </c>
      <c r="AD76" s="22" t="s">
        <v>157</v>
      </c>
      <c r="AE76" s="146">
        <f>VLOOKUP(S76,Data!$H$22:$J$25,3,FALSE)*T76</f>
        <v>930</v>
      </c>
      <c r="AF76" s="8">
        <f>VLOOKUP(S76,Data!$H$22:$I$25,2,FALSE)*AE76</f>
        <v>930</v>
      </c>
      <c r="AG76" s="8" t="s">
        <v>178</v>
      </c>
      <c r="AH76" s="23">
        <v>2.5000000000000001E-2</v>
      </c>
      <c r="AI76" s="72"/>
      <c r="AJ76" s="159">
        <f t="shared" si="56"/>
        <v>2.5000000000000001E-2</v>
      </c>
      <c r="AK76" s="168">
        <f t="shared" si="89"/>
        <v>775</v>
      </c>
      <c r="AL76" s="160">
        <f t="shared" si="90"/>
        <v>775</v>
      </c>
      <c r="AM76" s="168">
        <f t="shared" si="57"/>
        <v>31775</v>
      </c>
      <c r="AN76" s="160">
        <f t="shared" si="58"/>
        <v>31775</v>
      </c>
      <c r="AO76" s="160" t="str">
        <f t="shared" si="91"/>
        <v>No</v>
      </c>
      <c r="AP76" s="146">
        <f>IF(AQ76=0,0,AQ76/VLOOKUP(S76,Data!$H$22:$I$25,2,FALSE))</f>
        <v>0</v>
      </c>
      <c r="AQ76" s="183">
        <f t="shared" si="59"/>
        <v>0</v>
      </c>
      <c r="AR76" s="165">
        <f t="shared" si="60"/>
        <v>775</v>
      </c>
      <c r="AS76" s="183">
        <f t="shared" si="61"/>
        <v>775</v>
      </c>
      <c r="AT76" s="250">
        <f t="shared" si="62"/>
        <v>2.5000000000000001E-2</v>
      </c>
      <c r="AU76" s="146">
        <f t="shared" si="63"/>
        <v>31775</v>
      </c>
      <c r="AV76" s="8">
        <f t="shared" si="64"/>
        <v>31775</v>
      </c>
      <c r="AW76" s="8" t="str">
        <f t="shared" si="65"/>
        <v/>
      </c>
      <c r="AX76" s="180">
        <f t="shared" si="66"/>
        <v>1.0627090301003344</v>
      </c>
      <c r="AY76" s="146">
        <f t="shared" si="67"/>
        <v>0</v>
      </c>
      <c r="AZ76" s="146">
        <f t="shared" si="68"/>
        <v>0</v>
      </c>
      <c r="BA76" s="22" t="s">
        <v>159</v>
      </c>
      <c r="BB76" s="149"/>
      <c r="BC76" s="149"/>
      <c r="BD76" s="144"/>
      <c r="BE76" s="146" t="str">
        <f t="shared" si="69"/>
        <v/>
      </c>
      <c r="BF76" s="8" t="str">
        <f t="shared" si="70"/>
        <v/>
      </c>
      <c r="BG76" s="8" t="str">
        <f>IF(LEN(BC76)&gt;0,VLOOKUP(BC76,'Job Codes'!B69:I187,7,FALSE),"")</f>
        <v/>
      </c>
      <c r="BH76" s="192" t="str">
        <f>IF(LEN(BC76)&gt;0,VLOOKUP(BC76,'Job Codes'!B69:I187,8,FALSE),"")</f>
        <v/>
      </c>
      <c r="BI76" s="192" t="str">
        <f>IF(LEN(BC76)&gt;0,VLOOKUP(BC76,'Job Codes'!$B$2:$J$120,9,FALSE),"")</f>
        <v/>
      </c>
      <c r="BJ76" s="146" t="str">
        <f>IF(LEN(BC76)&gt;0,VLOOKUP(BC76,'Job Codes'!$B$2:$I$120,4,FALSE),"")</f>
        <v/>
      </c>
      <c r="BK76" s="146" t="str">
        <f>IF(LEN(BC76)&gt;0,VLOOKUP(BC76,'Job Codes'!$B$2:$I$120,5,FALSE),"")</f>
        <v/>
      </c>
      <c r="BL76" s="146" t="str">
        <f>IF(LEN(BC76)&gt;0,VLOOKUP(BC76,'Job Codes'!$B$2:$I$120,6,FALSE),"")</f>
        <v/>
      </c>
      <c r="BM76" s="168">
        <f t="shared" si="71"/>
        <v>31775</v>
      </c>
      <c r="BN76" s="160">
        <f t="shared" si="72"/>
        <v>31775</v>
      </c>
      <c r="BO76" s="22" t="s">
        <v>159</v>
      </c>
      <c r="BP76" s="157">
        <f>VLOOKUP(I76,'Job Codes'!$B$2:$I$120,8,FALSE)</f>
        <v>0</v>
      </c>
      <c r="BQ76" s="25" t="str">
        <f>IF(O76&gt;Data!$H$33,"Yes","No")</f>
        <v>No</v>
      </c>
      <c r="BR76" s="191">
        <v>0</v>
      </c>
      <c r="BS76" s="150">
        <f t="shared" si="73"/>
        <v>0</v>
      </c>
      <c r="BT76" s="25">
        <f t="shared" si="74"/>
        <v>0</v>
      </c>
      <c r="BU76" s="161">
        <v>1</v>
      </c>
      <c r="BV76" s="168">
        <f t="shared" si="75"/>
        <v>0</v>
      </c>
      <c r="BW76" s="160">
        <f t="shared" si="76"/>
        <v>0</v>
      </c>
      <c r="BX76" s="149"/>
      <c r="BY76" s="32">
        <f t="shared" si="77"/>
        <v>0</v>
      </c>
      <c r="BZ76" s="22" t="s">
        <v>159</v>
      </c>
      <c r="CA76" s="231">
        <f>VLOOKUP(I76,'Job Codes'!$B$2:$J$120,9,FALSE)</f>
        <v>0</v>
      </c>
      <c r="CB76" s="253">
        <f t="shared" si="78"/>
        <v>0</v>
      </c>
      <c r="CC76" s="72"/>
      <c r="CD76" s="25" t="str">
        <f t="shared" si="79"/>
        <v>Meets</v>
      </c>
      <c r="CE76" s="27"/>
      <c r="CF76" s="27"/>
      <c r="CG76" s="27"/>
      <c r="CH76" s="27"/>
      <c r="CI76" s="27"/>
      <c r="CJ76" s="3">
        <v>29271</v>
      </c>
      <c r="CK76" s="3" t="s">
        <v>255</v>
      </c>
      <c r="CL76" s="3">
        <v>4569</v>
      </c>
      <c r="CM76" s="3" t="s">
        <v>161</v>
      </c>
      <c r="CN76" s="3">
        <v>4571</v>
      </c>
      <c r="CO76" s="3" t="s">
        <v>162</v>
      </c>
      <c r="CP76" s="3">
        <v>12345</v>
      </c>
      <c r="CQ76" s="3" t="s">
        <v>163</v>
      </c>
      <c r="CR76" s="246" t="s">
        <v>164</v>
      </c>
      <c r="CS76" s="5" t="s">
        <v>165</v>
      </c>
      <c r="CT76" s="246" t="s">
        <v>256</v>
      </c>
      <c r="CU76" s="247" t="s">
        <v>257</v>
      </c>
      <c r="CV76" s="3" t="str">
        <f t="shared" si="80"/>
        <v>67890;86672</v>
      </c>
      <c r="CW76" s="3" t="s">
        <v>168</v>
      </c>
      <c r="CX76" s="3" t="str">
        <f t="shared" si="81"/>
        <v>AB76;;BB76:BD76;BU76;BX76</v>
      </c>
      <c r="CY76" s="5" t="str">
        <f t="shared" si="82"/>
        <v>Unlock</v>
      </c>
      <c r="CZ76" s="5" t="str">
        <f t="shared" si="83"/>
        <v>Lock</v>
      </c>
      <c r="DA76" s="5" t="str">
        <f t="shared" si="84"/>
        <v>Lock</v>
      </c>
      <c r="DB76" s="5" t="str">
        <f t="shared" si="85"/>
        <v>Lock</v>
      </c>
      <c r="DC76" s="5" t="str">
        <f t="shared" si="86"/>
        <v>Lock</v>
      </c>
      <c r="DD76" s="78">
        <f t="shared" si="87"/>
        <v>2</v>
      </c>
      <c r="DE76" s="2"/>
      <c r="DF76" s="2"/>
      <c r="DG76" s="2"/>
      <c r="DH76" s="2"/>
      <c r="DI76" s="2"/>
      <c r="DJ76" s="2"/>
      <c r="DK76" s="5"/>
      <c r="DL76" s="2"/>
      <c r="DM76" s="2"/>
      <c r="DN76" s="2"/>
      <c r="DO76" s="2"/>
      <c r="DP76" s="2"/>
      <c r="DQ76" s="2"/>
      <c r="DR76" s="2"/>
      <c r="DS76" s="2"/>
      <c r="DT76" s="2"/>
      <c r="DU76" s="2"/>
      <c r="DV76" s="2"/>
      <c r="DW76" s="2"/>
      <c r="DX76" s="2"/>
      <c r="DY76" s="2"/>
      <c r="DZ76" s="2"/>
      <c r="EA76" s="2"/>
      <c r="EB76" s="2"/>
      <c r="EC76" s="2"/>
      <c r="ED76" s="2"/>
      <c r="EE76" s="2"/>
      <c r="EF76" s="1"/>
      <c r="EG76" s="98"/>
      <c r="EH76" s="98"/>
      <c r="EI76" s="1"/>
      <c r="EJ76" s="1"/>
      <c r="EK76" s="98"/>
      <c r="EL76" s="1"/>
    </row>
    <row r="77" spans="1:142">
      <c r="A77" s="32">
        <f t="shared" si="46"/>
        <v>3729</v>
      </c>
      <c r="B77" s="3" t="str">
        <f t="shared" si="47"/>
        <v>sv_statement//Statement//Export Statement&amp;PDFID=Heidi Mertens_3729&amp;SO=Y</v>
      </c>
      <c r="C77" s="5" t="str">
        <f t="shared" si="88"/>
        <v>Statement</v>
      </c>
      <c r="D77" s="5" t="str">
        <f t="shared" si="48"/>
        <v>Heidi Mertens_3729</v>
      </c>
      <c r="E77" s="5"/>
      <c r="F77" s="5">
        <v>3729</v>
      </c>
      <c r="G77" s="22" t="s">
        <v>315</v>
      </c>
      <c r="H77" s="5" t="s">
        <v>296</v>
      </c>
      <c r="I77" s="5" t="s">
        <v>316</v>
      </c>
      <c r="J77" s="5" t="s">
        <v>152</v>
      </c>
      <c r="K77" s="5" t="s">
        <v>153</v>
      </c>
      <c r="L77" s="31">
        <f t="shared" si="49"/>
        <v>11351</v>
      </c>
      <c r="M77" s="5" t="s">
        <v>177</v>
      </c>
      <c r="N77" s="22" t="s">
        <v>155</v>
      </c>
      <c r="O77" s="100">
        <v>28045</v>
      </c>
      <c r="P77" s="146">
        <f>VLOOKUP(I77,'Job Codes'!$B$2:$I$120,4,FALSE)</f>
        <v>26500</v>
      </c>
      <c r="Q77" s="146">
        <f>VLOOKUP(I77,'Job Codes'!$B$2:$I$120,5,FALSE)</f>
        <v>34450</v>
      </c>
      <c r="R77" s="146">
        <f>VLOOKUP(I77,'Job Codes'!$B$2:$I$120,6,FALSE)</f>
        <v>41340</v>
      </c>
      <c r="S77" s="22" t="s">
        <v>171</v>
      </c>
      <c r="T77" s="146">
        <v>43000</v>
      </c>
      <c r="U77" s="8">
        <f>VLOOKUP(S77,Data!$H$22:$I$25,2,FALSE)*T77</f>
        <v>43000</v>
      </c>
      <c r="V77" s="180">
        <f t="shared" si="50"/>
        <v>1.2481857764876634</v>
      </c>
      <c r="W77" s="180">
        <f t="shared" si="51"/>
        <v>0</v>
      </c>
      <c r="X77" s="22" t="str">
        <f t="shared" si="52"/>
        <v>No</v>
      </c>
      <c r="Y77" s="180">
        <f t="shared" si="53"/>
        <v>0</v>
      </c>
      <c r="Z77" s="146">
        <f t="shared" si="54"/>
        <v>0</v>
      </c>
      <c r="AA77" s="146">
        <f t="shared" si="55"/>
        <v>0</v>
      </c>
      <c r="AB77" s="72"/>
      <c r="AC77" s="146">
        <f>AB77/VLOOKUP(S77,Data!$H$22:$I$25,2,FALSE)</f>
        <v>0</v>
      </c>
      <c r="AD77" s="22" t="s">
        <v>157</v>
      </c>
      <c r="AE77" s="146">
        <f>VLOOKUP(S77,Data!$H$22:$J$25,3,FALSE)*T77</f>
        <v>1290</v>
      </c>
      <c r="AF77" s="8">
        <f>VLOOKUP(S77,Data!$H$22:$I$25,2,FALSE)*AE77</f>
        <v>1290</v>
      </c>
      <c r="AG77" s="8" t="s">
        <v>172</v>
      </c>
      <c r="AH77" s="23"/>
      <c r="AI77" s="72"/>
      <c r="AJ77" s="159">
        <f t="shared" si="56"/>
        <v>0</v>
      </c>
      <c r="AK77" s="168">
        <f t="shared" si="89"/>
        <v>0</v>
      </c>
      <c r="AL77" s="160">
        <f t="shared" si="90"/>
        <v>0</v>
      </c>
      <c r="AM77" s="168">
        <f t="shared" si="57"/>
        <v>43000</v>
      </c>
      <c r="AN77" s="160">
        <f t="shared" si="58"/>
        <v>43000</v>
      </c>
      <c r="AO77" s="160" t="str">
        <f t="shared" si="91"/>
        <v>Yes by USD 1,660</v>
      </c>
      <c r="AP77" s="146">
        <f>IF(AQ77=0,0,AQ77/VLOOKUP(S77,Data!$H$22:$I$25,2,FALSE))</f>
        <v>0</v>
      </c>
      <c r="AQ77" s="183">
        <f t="shared" si="59"/>
        <v>0</v>
      </c>
      <c r="AR77" s="165">
        <f t="shared" si="60"/>
        <v>0</v>
      </c>
      <c r="AS77" s="183">
        <f t="shared" si="61"/>
        <v>0</v>
      </c>
      <c r="AT77" s="250">
        <f t="shared" si="62"/>
        <v>0</v>
      </c>
      <c r="AU77" s="146">
        <f t="shared" si="63"/>
        <v>43000</v>
      </c>
      <c r="AV77" s="8">
        <f t="shared" si="64"/>
        <v>43000</v>
      </c>
      <c r="AW77" s="8" t="str">
        <f t="shared" si="65"/>
        <v/>
      </c>
      <c r="AX77" s="180">
        <f t="shared" si="66"/>
        <v>1.2481857764876634</v>
      </c>
      <c r="AY77" s="146">
        <f t="shared" si="67"/>
        <v>0</v>
      </c>
      <c r="AZ77" s="146">
        <f t="shared" si="68"/>
        <v>0</v>
      </c>
      <c r="BA77" s="22" t="s">
        <v>159</v>
      </c>
      <c r="BB77" s="149"/>
      <c r="BC77" s="149"/>
      <c r="BD77" s="144"/>
      <c r="BE77" s="146" t="str">
        <f t="shared" si="69"/>
        <v/>
      </c>
      <c r="BF77" s="8" t="str">
        <f t="shared" si="70"/>
        <v/>
      </c>
      <c r="BG77" s="8" t="str">
        <f>IF(LEN(BC77)&gt;0,VLOOKUP(BC77,'Job Codes'!B70:I188,7,FALSE),"")</f>
        <v/>
      </c>
      <c r="BH77" s="192" t="str">
        <f>IF(LEN(BC77)&gt;0,VLOOKUP(BC77,'Job Codes'!B70:I188,8,FALSE),"")</f>
        <v/>
      </c>
      <c r="BI77" s="192" t="str">
        <f>IF(LEN(BC77)&gt;0,VLOOKUP(BC77,'Job Codes'!$B$2:$J$120,9,FALSE),"")</f>
        <v/>
      </c>
      <c r="BJ77" s="146" t="str">
        <f>IF(LEN(BC77)&gt;0,VLOOKUP(BC77,'Job Codes'!$B$2:$I$120,4,FALSE),"")</f>
        <v/>
      </c>
      <c r="BK77" s="146" t="str">
        <f>IF(LEN(BC77)&gt;0,VLOOKUP(BC77,'Job Codes'!$B$2:$I$120,5,FALSE),"")</f>
        <v/>
      </c>
      <c r="BL77" s="146" t="str">
        <f>IF(LEN(BC77)&gt;0,VLOOKUP(BC77,'Job Codes'!$B$2:$I$120,6,FALSE),"")</f>
        <v/>
      </c>
      <c r="BM77" s="168">
        <f t="shared" si="71"/>
        <v>43000</v>
      </c>
      <c r="BN77" s="160">
        <f t="shared" si="72"/>
        <v>43000</v>
      </c>
      <c r="BO77" s="22" t="s">
        <v>157</v>
      </c>
      <c r="BP77" s="157">
        <f>VLOOKUP(I77,'Job Codes'!$B$2:$I$120,8,FALSE)</f>
        <v>0.05</v>
      </c>
      <c r="BQ77" s="25" t="str">
        <f>IF(O77&gt;Data!$H$33,"Yes","No")</f>
        <v>No</v>
      </c>
      <c r="BR77" s="191">
        <v>0.05</v>
      </c>
      <c r="BS77" s="150">
        <f t="shared" si="73"/>
        <v>2150</v>
      </c>
      <c r="BT77" s="25">
        <f t="shared" si="74"/>
        <v>2150</v>
      </c>
      <c r="BU77" s="161">
        <v>1</v>
      </c>
      <c r="BV77" s="168">
        <f t="shared" si="75"/>
        <v>2150</v>
      </c>
      <c r="BW77" s="160">
        <f t="shared" si="76"/>
        <v>2150</v>
      </c>
      <c r="BX77" s="149"/>
      <c r="BY77" s="32">
        <f t="shared" si="77"/>
        <v>0</v>
      </c>
      <c r="BZ77" s="22" t="s">
        <v>159</v>
      </c>
      <c r="CA77" s="231">
        <f>VLOOKUP(I77,'Job Codes'!$B$2:$J$120,9,FALSE)</f>
        <v>0</v>
      </c>
      <c r="CB77" s="253">
        <f t="shared" si="78"/>
        <v>0</v>
      </c>
      <c r="CC77" s="72"/>
      <c r="CD77" s="25" t="str">
        <f t="shared" si="79"/>
        <v>Below</v>
      </c>
      <c r="CE77" s="27"/>
      <c r="CF77" s="27"/>
      <c r="CG77" s="27"/>
      <c r="CH77" s="27"/>
      <c r="CI77" s="27"/>
      <c r="CJ77" s="3">
        <v>11308</v>
      </c>
      <c r="CK77" s="3" t="s">
        <v>154</v>
      </c>
      <c r="CL77" s="3">
        <v>4569</v>
      </c>
      <c r="CM77" s="3" t="s">
        <v>161</v>
      </c>
      <c r="CN77" s="3">
        <v>4571</v>
      </c>
      <c r="CO77" s="3" t="s">
        <v>162</v>
      </c>
      <c r="CP77" s="3">
        <v>12345</v>
      </c>
      <c r="CQ77" s="3" t="s">
        <v>163</v>
      </c>
      <c r="CR77" s="246" t="s">
        <v>179</v>
      </c>
      <c r="CS77" s="247" t="s">
        <v>180</v>
      </c>
      <c r="CT77" s="246" t="s">
        <v>166</v>
      </c>
      <c r="CU77" s="247" t="s">
        <v>167</v>
      </c>
      <c r="CV77" s="3" t="str">
        <f t="shared" si="80"/>
        <v>90876;99485</v>
      </c>
      <c r="CW77" s="3" t="s">
        <v>168</v>
      </c>
      <c r="CX77" s="3" t="str">
        <f t="shared" si="81"/>
        <v>AB77;;BB77:BD77;;CC77</v>
      </c>
      <c r="CY77" s="5" t="str">
        <f t="shared" si="82"/>
        <v>Unlock</v>
      </c>
      <c r="CZ77" s="5" t="str">
        <f t="shared" si="83"/>
        <v>Lock</v>
      </c>
      <c r="DA77" s="5" t="str">
        <f t="shared" si="84"/>
        <v>Lock</v>
      </c>
      <c r="DB77" s="5" t="str">
        <f t="shared" si="85"/>
        <v>Lock</v>
      </c>
      <c r="DC77" s="5" t="str">
        <f t="shared" si="86"/>
        <v>Lock</v>
      </c>
      <c r="DD77" s="78">
        <f t="shared" si="87"/>
        <v>2</v>
      </c>
      <c r="DE77" s="2"/>
      <c r="DF77" s="2"/>
      <c r="DG77" s="2"/>
      <c r="DH77" s="2"/>
      <c r="DI77" s="2"/>
      <c r="DJ77" s="2"/>
      <c r="DK77" s="5"/>
      <c r="DL77" s="2"/>
      <c r="DM77" s="2"/>
      <c r="DN77" s="2"/>
      <c r="DO77" s="2"/>
      <c r="DP77" s="2"/>
      <c r="DQ77" s="2"/>
      <c r="DR77" s="2"/>
      <c r="DS77" s="2"/>
      <c r="DT77" s="2"/>
      <c r="DU77" s="2"/>
      <c r="DV77" s="2"/>
      <c r="DW77" s="2"/>
      <c r="DX77" s="2"/>
      <c r="DY77" s="2"/>
      <c r="DZ77" s="2"/>
      <c r="EA77" s="2"/>
      <c r="EB77" s="2"/>
      <c r="EC77" s="2"/>
      <c r="ED77" s="2"/>
      <c r="EE77" s="2"/>
      <c r="EF77" s="1"/>
      <c r="EG77" s="98"/>
      <c r="EH77" s="98"/>
      <c r="EI77" s="1"/>
      <c r="EJ77" s="1"/>
      <c r="EK77" s="98"/>
      <c r="EL77" s="1"/>
    </row>
    <row r="78" spans="1:142">
      <c r="A78" s="32">
        <f t="shared" si="46"/>
        <v>4297</v>
      </c>
      <c r="B78" s="3" t="str">
        <f t="shared" si="47"/>
        <v>sv_statement//Statement//Export Statement&amp;PDFID=Cindy Brumley_4297&amp;SO=Y</v>
      </c>
      <c r="C78" s="5" t="str">
        <f t="shared" si="88"/>
        <v>Statement</v>
      </c>
      <c r="D78" s="5" t="str">
        <f t="shared" si="48"/>
        <v>Cindy Brumley_4297</v>
      </c>
      <c r="E78" s="5"/>
      <c r="F78" s="5">
        <v>4297</v>
      </c>
      <c r="G78" s="22" t="s">
        <v>317</v>
      </c>
      <c r="H78" s="5" t="s">
        <v>250</v>
      </c>
      <c r="I78" s="5" t="s">
        <v>318</v>
      </c>
      <c r="J78" s="5" t="s">
        <v>252</v>
      </c>
      <c r="K78" s="5" t="s">
        <v>319</v>
      </c>
      <c r="L78" s="31">
        <f t="shared" si="49"/>
        <v>29331</v>
      </c>
      <c r="M78" s="5" t="s">
        <v>320</v>
      </c>
      <c r="N78" s="22" t="s">
        <v>155</v>
      </c>
      <c r="O78" s="100">
        <v>38124</v>
      </c>
      <c r="P78" s="146">
        <f>VLOOKUP(I78,'Job Codes'!$B$2:$I$120,4,FALSE)</f>
        <v>26500</v>
      </c>
      <c r="Q78" s="146">
        <f>VLOOKUP(I78,'Job Codes'!$B$2:$I$120,5,FALSE)</f>
        <v>34450</v>
      </c>
      <c r="R78" s="146">
        <f>VLOOKUP(I78,'Job Codes'!$B$2:$I$120,6,FALSE)</f>
        <v>41340</v>
      </c>
      <c r="S78" s="22" t="s">
        <v>171</v>
      </c>
      <c r="T78" s="146">
        <v>26957</v>
      </c>
      <c r="U78" s="8">
        <f>VLOOKUP(S78,Data!$H$22:$I$25,2,FALSE)*T78</f>
        <v>26957</v>
      </c>
      <c r="V78" s="180">
        <f t="shared" si="50"/>
        <v>0.78249637155297536</v>
      </c>
      <c r="W78" s="180">
        <f t="shared" si="51"/>
        <v>0.27796119746262565</v>
      </c>
      <c r="X78" s="22" t="str">
        <f t="shared" si="52"/>
        <v>Yes</v>
      </c>
      <c r="Y78" s="180">
        <f t="shared" si="53"/>
        <v>0.02</v>
      </c>
      <c r="Z78" s="146">
        <f t="shared" si="54"/>
        <v>539.14</v>
      </c>
      <c r="AA78" s="146">
        <f t="shared" si="55"/>
        <v>539.14</v>
      </c>
      <c r="AB78" s="72"/>
      <c r="AC78" s="146">
        <f>AB78/VLOOKUP(S78,Data!$H$22:$I$25,2,FALSE)</f>
        <v>0</v>
      </c>
      <c r="AD78" s="22" t="s">
        <v>157</v>
      </c>
      <c r="AE78" s="146">
        <f>VLOOKUP(S78,Data!$H$22:$J$25,3,FALSE)*T78</f>
        <v>808.70999999999992</v>
      </c>
      <c r="AF78" s="8">
        <f>VLOOKUP(S78,Data!$H$22:$I$25,2,FALSE)*AE78</f>
        <v>808.70999999999992</v>
      </c>
      <c r="AG78" s="8" t="s">
        <v>178</v>
      </c>
      <c r="AH78" s="23">
        <v>0.03</v>
      </c>
      <c r="AI78" s="72"/>
      <c r="AJ78" s="159">
        <f t="shared" si="56"/>
        <v>2.9999999999999995E-2</v>
      </c>
      <c r="AK78" s="168">
        <f t="shared" si="89"/>
        <v>808.70999999999992</v>
      </c>
      <c r="AL78" s="160">
        <f t="shared" si="90"/>
        <v>808.70999999999992</v>
      </c>
      <c r="AM78" s="168">
        <f t="shared" si="57"/>
        <v>27765.71</v>
      </c>
      <c r="AN78" s="160">
        <f t="shared" si="58"/>
        <v>27765.71</v>
      </c>
      <c r="AO78" s="160" t="str">
        <f t="shared" si="91"/>
        <v>No</v>
      </c>
      <c r="AP78" s="146">
        <f>IF(AQ78=0,0,AQ78/VLOOKUP(S78,Data!$H$22:$I$25,2,FALSE))</f>
        <v>0</v>
      </c>
      <c r="AQ78" s="183">
        <f t="shared" si="59"/>
        <v>0</v>
      </c>
      <c r="AR78" s="165">
        <f t="shared" si="60"/>
        <v>808.70999999999992</v>
      </c>
      <c r="AS78" s="183">
        <f t="shared" si="61"/>
        <v>808.70999999999992</v>
      </c>
      <c r="AT78" s="250">
        <f t="shared" si="62"/>
        <v>2.9999999999999995E-2</v>
      </c>
      <c r="AU78" s="146">
        <f t="shared" si="63"/>
        <v>27765.71</v>
      </c>
      <c r="AV78" s="8">
        <f t="shared" si="64"/>
        <v>27765.71</v>
      </c>
      <c r="AW78" s="8" t="str">
        <f t="shared" si="65"/>
        <v>Not within guidelines</v>
      </c>
      <c r="AX78" s="180">
        <f t="shared" si="66"/>
        <v>0.80597126269956454</v>
      </c>
      <c r="AY78" s="146">
        <f t="shared" si="67"/>
        <v>1</v>
      </c>
      <c r="AZ78" s="146">
        <f t="shared" si="68"/>
        <v>1</v>
      </c>
      <c r="BA78" s="22" t="s">
        <v>159</v>
      </c>
      <c r="BB78" s="149"/>
      <c r="BC78" s="149"/>
      <c r="BD78" s="144"/>
      <c r="BE78" s="146" t="str">
        <f t="shared" si="69"/>
        <v/>
      </c>
      <c r="BF78" s="8" t="str">
        <f t="shared" si="70"/>
        <v/>
      </c>
      <c r="BG78" s="8" t="str">
        <f>IF(LEN(BC78)&gt;0,VLOOKUP(BC78,'Job Codes'!B71:I189,7,FALSE),"")</f>
        <v/>
      </c>
      <c r="BH78" s="192" t="str">
        <f>IF(LEN(BC78)&gt;0,VLOOKUP(BC78,'Job Codes'!B71:I189,8,FALSE),"")</f>
        <v/>
      </c>
      <c r="BI78" s="192" t="str">
        <f>IF(LEN(BC78)&gt;0,VLOOKUP(BC78,'Job Codes'!$B$2:$J$120,9,FALSE),"")</f>
        <v/>
      </c>
      <c r="BJ78" s="146" t="str">
        <f>IF(LEN(BC78)&gt;0,VLOOKUP(BC78,'Job Codes'!$B$2:$I$120,4,FALSE),"")</f>
        <v/>
      </c>
      <c r="BK78" s="146" t="str">
        <f>IF(LEN(BC78)&gt;0,VLOOKUP(BC78,'Job Codes'!$B$2:$I$120,5,FALSE),"")</f>
        <v/>
      </c>
      <c r="BL78" s="146" t="str">
        <f>IF(LEN(BC78)&gt;0,VLOOKUP(BC78,'Job Codes'!$B$2:$I$120,6,FALSE),"")</f>
        <v/>
      </c>
      <c r="BM78" s="168">
        <f t="shared" si="71"/>
        <v>27765.71</v>
      </c>
      <c r="BN78" s="160">
        <f t="shared" si="72"/>
        <v>27765.71</v>
      </c>
      <c r="BO78" s="22" t="s">
        <v>157</v>
      </c>
      <c r="BP78" s="157">
        <f>VLOOKUP(I78,'Job Codes'!$B$2:$I$120,8,FALSE)</f>
        <v>0.05</v>
      </c>
      <c r="BQ78" s="25" t="str">
        <f>IF(O78&gt;Data!$H$33,"Yes","No")</f>
        <v>No</v>
      </c>
      <c r="BR78" s="191">
        <v>0.05</v>
      </c>
      <c r="BS78" s="150">
        <f t="shared" si="73"/>
        <v>1347.8500000000001</v>
      </c>
      <c r="BT78" s="25">
        <f t="shared" si="74"/>
        <v>1347.8500000000001</v>
      </c>
      <c r="BU78" s="161">
        <v>1</v>
      </c>
      <c r="BV78" s="168">
        <f t="shared" si="75"/>
        <v>1347.8500000000001</v>
      </c>
      <c r="BW78" s="160">
        <f t="shared" si="76"/>
        <v>1347.8500000000001</v>
      </c>
      <c r="BX78" s="149"/>
      <c r="BY78" s="32">
        <f t="shared" si="77"/>
        <v>0</v>
      </c>
      <c r="BZ78" s="22" t="s">
        <v>159</v>
      </c>
      <c r="CA78" s="231">
        <f>VLOOKUP(I78,'Job Codes'!$B$2:$J$120,9,FALSE)</f>
        <v>0</v>
      </c>
      <c r="CB78" s="253">
        <f t="shared" si="78"/>
        <v>0</v>
      </c>
      <c r="CC78" s="72"/>
      <c r="CD78" s="25" t="str">
        <f t="shared" si="79"/>
        <v>Meets</v>
      </c>
      <c r="CE78" s="27"/>
      <c r="CF78" s="27"/>
      <c r="CG78" s="27"/>
      <c r="CH78" s="27"/>
      <c r="CI78" s="27"/>
      <c r="CJ78" s="3">
        <v>29271</v>
      </c>
      <c r="CK78" s="3" t="s">
        <v>255</v>
      </c>
      <c r="CL78" s="3">
        <v>4569</v>
      </c>
      <c r="CM78" s="3" t="s">
        <v>161</v>
      </c>
      <c r="CN78" s="3">
        <v>4571</v>
      </c>
      <c r="CO78" s="3" t="s">
        <v>162</v>
      </c>
      <c r="CP78" s="3">
        <v>12345</v>
      </c>
      <c r="CQ78" s="3" t="s">
        <v>163</v>
      </c>
      <c r="CR78" s="246" t="s">
        <v>164</v>
      </c>
      <c r="CS78" s="5" t="s">
        <v>165</v>
      </c>
      <c r="CT78" s="246" t="s">
        <v>256</v>
      </c>
      <c r="CU78" s="247" t="s">
        <v>257</v>
      </c>
      <c r="CV78" s="3" t="str">
        <f t="shared" si="80"/>
        <v>67890;86672</v>
      </c>
      <c r="CW78" s="3" t="s">
        <v>168</v>
      </c>
      <c r="CX78" s="3" t="str">
        <f t="shared" si="81"/>
        <v>;;BB78:BD78;;CC78</v>
      </c>
      <c r="CY78" s="5" t="str">
        <f t="shared" si="82"/>
        <v>Unlock</v>
      </c>
      <c r="CZ78" s="5" t="str">
        <f t="shared" si="83"/>
        <v>Lock</v>
      </c>
      <c r="DA78" s="5" t="str">
        <f t="shared" si="84"/>
        <v>Lock</v>
      </c>
      <c r="DB78" s="5" t="str">
        <f t="shared" si="85"/>
        <v>Lock</v>
      </c>
      <c r="DC78" s="5" t="str">
        <f t="shared" si="86"/>
        <v>Lock</v>
      </c>
      <c r="DD78" s="78">
        <f t="shared" si="87"/>
        <v>2</v>
      </c>
      <c r="DE78" s="2"/>
      <c r="DF78" s="2"/>
      <c r="DG78" s="2"/>
      <c r="DH78" s="2"/>
      <c r="DI78" s="2"/>
      <c r="DJ78" s="2"/>
      <c r="DK78" s="5"/>
      <c r="DL78" s="2"/>
      <c r="DM78" s="2"/>
      <c r="DN78" s="2"/>
      <c r="DO78" s="2"/>
      <c r="DP78" s="2"/>
      <c r="DQ78" s="2"/>
      <c r="DR78" s="2"/>
      <c r="DS78" s="2"/>
      <c r="DT78" s="2"/>
      <c r="DU78" s="2"/>
      <c r="DV78" s="2"/>
      <c r="DW78" s="2"/>
      <c r="DX78" s="2"/>
      <c r="DY78" s="2"/>
      <c r="DZ78" s="2"/>
      <c r="EA78" s="2"/>
      <c r="EB78" s="2"/>
      <c r="EC78" s="2"/>
      <c r="ED78" s="2"/>
      <c r="EE78" s="2"/>
      <c r="EF78" s="1"/>
      <c r="EG78" s="98"/>
      <c r="EH78" s="98"/>
      <c r="EI78" s="1"/>
      <c r="EJ78" s="1"/>
      <c r="EK78" s="98"/>
      <c r="EL78" s="1"/>
    </row>
    <row r="79" spans="1:142">
      <c r="A79" s="32">
        <f t="shared" si="46"/>
        <v>4328</v>
      </c>
      <c r="B79" s="3" t="str">
        <f t="shared" si="47"/>
        <v>sv_statement//Statement//Export Statement&amp;PDFID=Christopher Pulido_4328&amp;SO=Y</v>
      </c>
      <c r="C79" s="5" t="str">
        <f t="shared" si="88"/>
        <v>Statement</v>
      </c>
      <c r="D79" s="5" t="str">
        <f t="shared" si="48"/>
        <v>Christopher Pulido_4328</v>
      </c>
      <c r="E79" s="5"/>
      <c r="F79" s="5">
        <v>4328</v>
      </c>
      <c r="G79" s="22" t="s">
        <v>321</v>
      </c>
      <c r="H79" s="5" t="s">
        <v>250</v>
      </c>
      <c r="I79" s="5" t="s">
        <v>322</v>
      </c>
      <c r="J79" s="5" t="s">
        <v>220</v>
      </c>
      <c r="K79" s="5" t="s">
        <v>221</v>
      </c>
      <c r="L79" s="31">
        <f t="shared" si="49"/>
        <v>29269</v>
      </c>
      <c r="M79" s="5" t="s">
        <v>287</v>
      </c>
      <c r="N79" s="22" t="s">
        <v>155</v>
      </c>
      <c r="O79" s="100">
        <v>37606</v>
      </c>
      <c r="P79" s="146">
        <f>VLOOKUP(I79,'Job Codes'!$B$2:$I$120,4,FALSE)</f>
        <v>23000</v>
      </c>
      <c r="Q79" s="146">
        <f>VLOOKUP(I79,'Job Codes'!$B$2:$I$120,5,FALSE)</f>
        <v>29900</v>
      </c>
      <c r="R79" s="146">
        <f>VLOOKUP(I79,'Job Codes'!$B$2:$I$120,6,FALSE)</f>
        <v>35880</v>
      </c>
      <c r="S79" s="22" t="s">
        <v>171</v>
      </c>
      <c r="T79" s="146">
        <v>32011</v>
      </c>
      <c r="U79" s="8">
        <f>VLOOKUP(S79,Data!$H$22:$I$25,2,FALSE)*T79</f>
        <v>32011</v>
      </c>
      <c r="V79" s="180">
        <f t="shared" si="50"/>
        <v>1.0706020066889632</v>
      </c>
      <c r="W79" s="180">
        <f t="shared" si="51"/>
        <v>0</v>
      </c>
      <c r="X79" s="22" t="str">
        <f t="shared" si="52"/>
        <v>No</v>
      </c>
      <c r="Y79" s="180">
        <f t="shared" si="53"/>
        <v>0</v>
      </c>
      <c r="Z79" s="146">
        <f t="shared" si="54"/>
        <v>0</v>
      </c>
      <c r="AA79" s="146">
        <f t="shared" si="55"/>
        <v>0</v>
      </c>
      <c r="AB79" s="72"/>
      <c r="AC79" s="146">
        <f>AB79/VLOOKUP(S79,Data!$H$22:$I$25,2,FALSE)</f>
        <v>0</v>
      </c>
      <c r="AD79" s="22" t="s">
        <v>157</v>
      </c>
      <c r="AE79" s="146">
        <f>VLOOKUP(S79,Data!$H$22:$J$25,3,FALSE)*T79</f>
        <v>960.32999999999993</v>
      </c>
      <c r="AF79" s="8">
        <f>VLOOKUP(S79,Data!$H$22:$I$25,2,FALSE)*AE79</f>
        <v>960.32999999999993</v>
      </c>
      <c r="AG79" s="8" t="s">
        <v>178</v>
      </c>
      <c r="AH79" s="23">
        <v>2.5000000000000001E-2</v>
      </c>
      <c r="AI79" s="72"/>
      <c r="AJ79" s="159">
        <f t="shared" si="56"/>
        <v>2.5000000000000001E-2</v>
      </c>
      <c r="AK79" s="168">
        <f t="shared" si="89"/>
        <v>800.27500000000009</v>
      </c>
      <c r="AL79" s="160">
        <f t="shared" si="90"/>
        <v>800.27500000000009</v>
      </c>
      <c r="AM79" s="168">
        <f t="shared" si="57"/>
        <v>32811.275000000001</v>
      </c>
      <c r="AN79" s="160">
        <f t="shared" si="58"/>
        <v>32811.275000000001</v>
      </c>
      <c r="AO79" s="160" t="str">
        <f t="shared" si="91"/>
        <v>No</v>
      </c>
      <c r="AP79" s="146">
        <f>IF(AQ79=0,0,AQ79/VLOOKUP(S79,Data!$H$22:$I$25,2,FALSE))</f>
        <v>0</v>
      </c>
      <c r="AQ79" s="183">
        <f t="shared" si="59"/>
        <v>0</v>
      </c>
      <c r="AR79" s="165">
        <f t="shared" si="60"/>
        <v>800.27500000000009</v>
      </c>
      <c r="AS79" s="183">
        <f t="shared" si="61"/>
        <v>800.27500000000009</v>
      </c>
      <c r="AT79" s="250">
        <f t="shared" si="62"/>
        <v>2.5000000000000001E-2</v>
      </c>
      <c r="AU79" s="146">
        <f t="shared" si="63"/>
        <v>32811.275000000001</v>
      </c>
      <c r="AV79" s="8">
        <f t="shared" si="64"/>
        <v>32811.275000000001</v>
      </c>
      <c r="AW79" s="8" t="str">
        <f t="shared" si="65"/>
        <v/>
      </c>
      <c r="AX79" s="180">
        <f t="shared" si="66"/>
        <v>1.0973670568561873</v>
      </c>
      <c r="AY79" s="146">
        <f t="shared" si="67"/>
        <v>0</v>
      </c>
      <c r="AZ79" s="146">
        <f t="shared" si="68"/>
        <v>0</v>
      </c>
      <c r="BA79" s="22" t="s">
        <v>159</v>
      </c>
      <c r="BB79" s="149"/>
      <c r="BC79" s="149"/>
      <c r="BD79" s="144"/>
      <c r="BE79" s="146" t="str">
        <f t="shared" si="69"/>
        <v/>
      </c>
      <c r="BF79" s="8" t="str">
        <f t="shared" si="70"/>
        <v/>
      </c>
      <c r="BG79" s="8" t="str">
        <f>IF(LEN(BC79)&gt;0,VLOOKUP(BC79,'Job Codes'!B72:I190,7,FALSE),"")</f>
        <v/>
      </c>
      <c r="BH79" s="192" t="str">
        <f>IF(LEN(BC79)&gt;0,VLOOKUP(BC79,'Job Codes'!B72:I190,8,FALSE),"")</f>
        <v/>
      </c>
      <c r="BI79" s="192" t="str">
        <f>IF(LEN(BC79)&gt;0,VLOOKUP(BC79,'Job Codes'!$B$2:$J$120,9,FALSE),"")</f>
        <v/>
      </c>
      <c r="BJ79" s="146" t="str">
        <f>IF(LEN(BC79)&gt;0,VLOOKUP(BC79,'Job Codes'!$B$2:$I$120,4,FALSE),"")</f>
        <v/>
      </c>
      <c r="BK79" s="146" t="str">
        <f>IF(LEN(BC79)&gt;0,VLOOKUP(BC79,'Job Codes'!$B$2:$I$120,5,FALSE),"")</f>
        <v/>
      </c>
      <c r="BL79" s="146" t="str">
        <f>IF(LEN(BC79)&gt;0,VLOOKUP(BC79,'Job Codes'!$B$2:$I$120,6,FALSE),"")</f>
        <v/>
      </c>
      <c r="BM79" s="168">
        <f t="shared" si="71"/>
        <v>32811.275000000001</v>
      </c>
      <c r="BN79" s="160">
        <f t="shared" si="72"/>
        <v>32811.275000000001</v>
      </c>
      <c r="BO79" s="22" t="s">
        <v>159</v>
      </c>
      <c r="BP79" s="157">
        <f>VLOOKUP(I79,'Job Codes'!$B$2:$I$120,8,FALSE)</f>
        <v>0</v>
      </c>
      <c r="BQ79" s="25" t="str">
        <f>IF(O79&gt;Data!$H$33,"Yes","No")</f>
        <v>No</v>
      </c>
      <c r="BR79" s="191">
        <v>0</v>
      </c>
      <c r="BS79" s="150">
        <f t="shared" si="73"/>
        <v>0</v>
      </c>
      <c r="BT79" s="25">
        <f t="shared" si="74"/>
        <v>0</v>
      </c>
      <c r="BU79" s="161">
        <v>1</v>
      </c>
      <c r="BV79" s="168">
        <f t="shared" si="75"/>
        <v>0</v>
      </c>
      <c r="BW79" s="160">
        <f t="shared" si="76"/>
        <v>0</v>
      </c>
      <c r="BX79" s="149"/>
      <c r="BY79" s="32">
        <f t="shared" si="77"/>
        <v>0</v>
      </c>
      <c r="BZ79" s="22" t="s">
        <v>159</v>
      </c>
      <c r="CA79" s="231">
        <f>VLOOKUP(I79,'Job Codes'!$B$2:$J$120,9,FALSE)</f>
        <v>0</v>
      </c>
      <c r="CB79" s="253">
        <f t="shared" si="78"/>
        <v>0</v>
      </c>
      <c r="CC79" s="72"/>
      <c r="CD79" s="25" t="str">
        <f t="shared" si="79"/>
        <v>Meets</v>
      </c>
      <c r="CE79" s="27"/>
      <c r="CF79" s="27"/>
      <c r="CG79" s="27"/>
      <c r="CH79" s="27"/>
      <c r="CI79" s="27"/>
      <c r="CJ79" s="3">
        <v>29271</v>
      </c>
      <c r="CK79" s="3" t="s">
        <v>255</v>
      </c>
      <c r="CL79" s="3">
        <v>4569</v>
      </c>
      <c r="CM79" s="3" t="s">
        <v>161</v>
      </c>
      <c r="CN79" s="3">
        <v>4571</v>
      </c>
      <c r="CO79" s="3" t="s">
        <v>162</v>
      </c>
      <c r="CP79" s="3">
        <v>12345</v>
      </c>
      <c r="CQ79" s="3" t="s">
        <v>163</v>
      </c>
      <c r="CR79" s="246" t="s">
        <v>164</v>
      </c>
      <c r="CS79" s="5" t="s">
        <v>165</v>
      </c>
      <c r="CT79" s="246" t="s">
        <v>256</v>
      </c>
      <c r="CU79" s="247" t="s">
        <v>257</v>
      </c>
      <c r="CV79" s="3" t="str">
        <f t="shared" si="80"/>
        <v>67890;86672</v>
      </c>
      <c r="CW79" s="3" t="s">
        <v>168</v>
      </c>
      <c r="CX79" s="3" t="str">
        <f t="shared" si="81"/>
        <v>AB79;;BB79:BD79;BU79;BX79</v>
      </c>
      <c r="CY79" s="5" t="str">
        <f t="shared" si="82"/>
        <v>Unlock</v>
      </c>
      <c r="CZ79" s="5" t="str">
        <f t="shared" si="83"/>
        <v>Lock</v>
      </c>
      <c r="DA79" s="5" t="str">
        <f t="shared" si="84"/>
        <v>Lock</v>
      </c>
      <c r="DB79" s="5" t="str">
        <f t="shared" si="85"/>
        <v>Lock</v>
      </c>
      <c r="DC79" s="5" t="str">
        <f t="shared" si="86"/>
        <v>Lock</v>
      </c>
      <c r="DD79" s="78">
        <f t="shared" si="87"/>
        <v>2</v>
      </c>
      <c r="DE79" s="2"/>
      <c r="DF79" s="2"/>
      <c r="DG79" s="2"/>
      <c r="DH79" s="2"/>
      <c r="DI79" s="2"/>
      <c r="DJ79" s="2"/>
      <c r="DK79" s="5"/>
      <c r="DL79" s="2"/>
      <c r="DM79" s="2"/>
      <c r="DN79" s="2"/>
      <c r="DO79" s="2"/>
      <c r="DP79" s="2"/>
      <c r="DQ79" s="2"/>
      <c r="DR79" s="2"/>
      <c r="DS79" s="2"/>
      <c r="DT79" s="2"/>
      <c r="DU79" s="2"/>
      <c r="DV79" s="2"/>
      <c r="DW79" s="2"/>
      <c r="DX79" s="2"/>
      <c r="DY79" s="2"/>
      <c r="DZ79" s="2"/>
      <c r="EA79" s="2"/>
      <c r="EB79" s="2"/>
      <c r="EC79" s="2"/>
      <c r="ED79" s="2"/>
      <c r="EE79" s="2"/>
      <c r="EF79" s="1"/>
      <c r="EG79" s="98"/>
      <c r="EH79" s="98"/>
      <c r="EI79" s="1"/>
      <c r="EJ79" s="1"/>
      <c r="EK79" s="98"/>
      <c r="EL79" s="1"/>
    </row>
    <row r="80" spans="1:142">
      <c r="A80" s="32">
        <f t="shared" si="46"/>
        <v>4577</v>
      </c>
      <c r="B80" s="3" t="str">
        <f t="shared" si="47"/>
        <v>sv_statement//Statement//Export Statement&amp;PDFID=Manuel Yi_4577&amp;SO=Y</v>
      </c>
      <c r="C80" s="5" t="str">
        <f t="shared" si="88"/>
        <v>Statement</v>
      </c>
      <c r="D80" s="5" t="str">
        <f t="shared" si="48"/>
        <v>Manuel Yi_4577</v>
      </c>
      <c r="E80" s="5"/>
      <c r="F80" s="5">
        <v>4577</v>
      </c>
      <c r="G80" s="22" t="s">
        <v>323</v>
      </c>
      <c r="H80" s="5" t="s">
        <v>250</v>
      </c>
      <c r="I80" s="5" t="s">
        <v>324</v>
      </c>
      <c r="J80" s="5" t="s">
        <v>220</v>
      </c>
      <c r="K80" s="5" t="s">
        <v>221</v>
      </c>
      <c r="L80" s="31">
        <f t="shared" si="49"/>
        <v>29269</v>
      </c>
      <c r="M80" s="5" t="s">
        <v>287</v>
      </c>
      <c r="N80" s="22" t="s">
        <v>155</v>
      </c>
      <c r="O80" s="100">
        <v>37368</v>
      </c>
      <c r="P80" s="146">
        <f>VLOOKUP(I80,'Job Codes'!$B$2:$I$120,4,FALSE)</f>
        <v>33000</v>
      </c>
      <c r="Q80" s="146">
        <f>VLOOKUP(I80,'Job Codes'!$B$2:$I$120,5,FALSE)</f>
        <v>42900</v>
      </c>
      <c r="R80" s="146">
        <f>VLOOKUP(I80,'Job Codes'!$B$2:$I$120,6,FALSE)</f>
        <v>51480</v>
      </c>
      <c r="S80" s="22" t="s">
        <v>171</v>
      </c>
      <c r="T80" s="146">
        <v>33280</v>
      </c>
      <c r="U80" s="8">
        <f>VLOOKUP(S80,Data!$H$22:$I$25,2,FALSE)*T80</f>
        <v>33280</v>
      </c>
      <c r="V80" s="180">
        <f t="shared" si="50"/>
        <v>0.77575757575757576</v>
      </c>
      <c r="W80" s="180">
        <f t="shared" si="51"/>
        <v>0.2890625</v>
      </c>
      <c r="X80" s="22" t="str">
        <f t="shared" si="52"/>
        <v>Yes</v>
      </c>
      <c r="Y80" s="180">
        <f t="shared" si="53"/>
        <v>0.02</v>
      </c>
      <c r="Z80" s="146">
        <f t="shared" si="54"/>
        <v>665.6</v>
      </c>
      <c r="AA80" s="146">
        <f t="shared" si="55"/>
        <v>665.6</v>
      </c>
      <c r="AB80" s="72"/>
      <c r="AC80" s="146">
        <f>AB80/VLOOKUP(S80,Data!$H$22:$I$25,2,FALSE)</f>
        <v>0</v>
      </c>
      <c r="AD80" s="22" t="s">
        <v>157</v>
      </c>
      <c r="AE80" s="146">
        <f>VLOOKUP(S80,Data!$H$22:$J$25,3,FALSE)*T80</f>
        <v>998.4</v>
      </c>
      <c r="AF80" s="8">
        <f>VLOOKUP(S80,Data!$H$22:$I$25,2,FALSE)*AE80</f>
        <v>998.4</v>
      </c>
      <c r="AG80" s="8" t="s">
        <v>158</v>
      </c>
      <c r="AH80" s="23">
        <v>0.04</v>
      </c>
      <c r="AI80" s="72"/>
      <c r="AJ80" s="159">
        <f t="shared" si="56"/>
        <v>0.04</v>
      </c>
      <c r="AK80" s="168">
        <f t="shared" si="89"/>
        <v>1331.2</v>
      </c>
      <c r="AL80" s="160">
        <f t="shared" si="90"/>
        <v>1331.2</v>
      </c>
      <c r="AM80" s="168">
        <f t="shared" si="57"/>
        <v>34611.199999999997</v>
      </c>
      <c r="AN80" s="160">
        <f t="shared" si="58"/>
        <v>34611.199999999997</v>
      </c>
      <c r="AO80" s="160" t="str">
        <f t="shared" si="91"/>
        <v>No</v>
      </c>
      <c r="AP80" s="146">
        <f>IF(AQ80=0,0,AQ80/VLOOKUP(S80,Data!$H$22:$I$25,2,FALSE))</f>
        <v>0</v>
      </c>
      <c r="AQ80" s="183">
        <f t="shared" si="59"/>
        <v>0</v>
      </c>
      <c r="AR80" s="165">
        <f t="shared" si="60"/>
        <v>1331.2</v>
      </c>
      <c r="AS80" s="183">
        <f t="shared" si="61"/>
        <v>1331.2</v>
      </c>
      <c r="AT80" s="250">
        <f t="shared" si="62"/>
        <v>0.04</v>
      </c>
      <c r="AU80" s="146">
        <f t="shared" si="63"/>
        <v>34611.199999999997</v>
      </c>
      <c r="AV80" s="8">
        <f t="shared" si="64"/>
        <v>34611.199999999997</v>
      </c>
      <c r="AW80" s="8" t="str">
        <f t="shared" si="65"/>
        <v/>
      </c>
      <c r="AX80" s="180">
        <f t="shared" si="66"/>
        <v>0.80678787878787872</v>
      </c>
      <c r="AY80" s="146">
        <f t="shared" si="67"/>
        <v>0</v>
      </c>
      <c r="AZ80" s="146">
        <f t="shared" si="68"/>
        <v>0</v>
      </c>
      <c r="BA80" s="22" t="s">
        <v>159</v>
      </c>
      <c r="BB80" s="149"/>
      <c r="BC80" s="149"/>
      <c r="BD80" s="144"/>
      <c r="BE80" s="146" t="str">
        <f t="shared" si="69"/>
        <v/>
      </c>
      <c r="BF80" s="8" t="str">
        <f t="shared" si="70"/>
        <v/>
      </c>
      <c r="BG80" s="8" t="str">
        <f>IF(LEN(BC80)&gt;0,VLOOKUP(BC80,'Job Codes'!B73:I191,7,FALSE),"")</f>
        <v/>
      </c>
      <c r="BH80" s="192" t="str">
        <f>IF(LEN(BC80)&gt;0,VLOOKUP(BC80,'Job Codes'!B73:I191,8,FALSE),"")</f>
        <v/>
      </c>
      <c r="BI80" s="192" t="str">
        <f>IF(LEN(BC80)&gt;0,VLOOKUP(BC80,'Job Codes'!$B$2:$J$120,9,FALSE),"")</f>
        <v/>
      </c>
      <c r="BJ80" s="146" t="str">
        <f>IF(LEN(BC80)&gt;0,VLOOKUP(BC80,'Job Codes'!$B$2:$I$120,4,FALSE),"")</f>
        <v/>
      </c>
      <c r="BK80" s="146" t="str">
        <f>IF(LEN(BC80)&gt;0,VLOOKUP(BC80,'Job Codes'!$B$2:$I$120,5,FALSE),"")</f>
        <v/>
      </c>
      <c r="BL80" s="146" t="str">
        <f>IF(LEN(BC80)&gt;0,VLOOKUP(BC80,'Job Codes'!$B$2:$I$120,6,FALSE),"")</f>
        <v/>
      </c>
      <c r="BM80" s="168">
        <f t="shared" si="71"/>
        <v>34611.199999999997</v>
      </c>
      <c r="BN80" s="160">
        <f t="shared" si="72"/>
        <v>34611.199999999997</v>
      </c>
      <c r="BO80" s="22" t="s">
        <v>157</v>
      </c>
      <c r="BP80" s="157">
        <f>VLOOKUP(I80,'Job Codes'!$B$2:$I$120,8,FALSE)</f>
        <v>0.1</v>
      </c>
      <c r="BQ80" s="25" t="str">
        <f>IF(O80&gt;Data!$H$33,"Yes","No")</f>
        <v>No</v>
      </c>
      <c r="BR80" s="191">
        <v>0.1</v>
      </c>
      <c r="BS80" s="150">
        <f t="shared" si="73"/>
        <v>3328</v>
      </c>
      <c r="BT80" s="25">
        <f t="shared" si="74"/>
        <v>3328</v>
      </c>
      <c r="BU80" s="161">
        <v>1</v>
      </c>
      <c r="BV80" s="168">
        <f t="shared" si="75"/>
        <v>3328</v>
      </c>
      <c r="BW80" s="160">
        <f t="shared" si="76"/>
        <v>3328</v>
      </c>
      <c r="BX80" s="149"/>
      <c r="BY80" s="32">
        <f t="shared" si="77"/>
        <v>0</v>
      </c>
      <c r="BZ80" s="22" t="s">
        <v>157</v>
      </c>
      <c r="CA80" s="231">
        <f>VLOOKUP(I80,'Job Codes'!$B$2:$J$120,9,FALSE)</f>
        <v>0.1</v>
      </c>
      <c r="CB80" s="253">
        <f t="shared" si="78"/>
        <v>3328</v>
      </c>
      <c r="CC80" s="72"/>
      <c r="CD80" s="25" t="str">
        <f t="shared" si="79"/>
        <v>Exceeds</v>
      </c>
      <c r="CE80" s="27"/>
      <c r="CF80" s="27"/>
      <c r="CG80" s="27"/>
      <c r="CH80" s="27"/>
      <c r="CI80" s="27"/>
      <c r="CJ80" s="3">
        <v>29271</v>
      </c>
      <c r="CK80" s="3" t="s">
        <v>255</v>
      </c>
      <c r="CL80" s="3">
        <v>4569</v>
      </c>
      <c r="CM80" s="3" t="s">
        <v>161</v>
      </c>
      <c r="CN80" s="3">
        <v>4571</v>
      </c>
      <c r="CO80" s="3" t="s">
        <v>162</v>
      </c>
      <c r="CP80" s="3">
        <v>12345</v>
      </c>
      <c r="CQ80" s="3" t="s">
        <v>163</v>
      </c>
      <c r="CR80" s="246" t="s">
        <v>164</v>
      </c>
      <c r="CS80" s="5" t="s">
        <v>165</v>
      </c>
      <c r="CT80" s="246" t="s">
        <v>256</v>
      </c>
      <c r="CU80" s="247" t="s">
        <v>257</v>
      </c>
      <c r="CV80" s="3" t="str">
        <f t="shared" si="80"/>
        <v>67890;86672</v>
      </c>
      <c r="CW80" s="3" t="s">
        <v>168</v>
      </c>
      <c r="CX80" s="3" t="str">
        <f t="shared" si="81"/>
        <v>;;BB80:BD80;;</v>
      </c>
      <c r="CY80" s="5" t="str">
        <f t="shared" si="82"/>
        <v>Unlock</v>
      </c>
      <c r="CZ80" s="5" t="str">
        <f t="shared" si="83"/>
        <v>Lock</v>
      </c>
      <c r="DA80" s="5" t="str">
        <f t="shared" si="84"/>
        <v>Lock</v>
      </c>
      <c r="DB80" s="5" t="str">
        <f t="shared" si="85"/>
        <v>Lock</v>
      </c>
      <c r="DC80" s="5" t="str">
        <f t="shared" si="86"/>
        <v>Lock</v>
      </c>
      <c r="DD80" s="78">
        <f t="shared" si="87"/>
        <v>2</v>
      </c>
      <c r="DE80" s="2"/>
      <c r="DF80" s="2"/>
      <c r="DG80" s="2"/>
      <c r="DH80" s="2"/>
      <c r="DI80" s="2"/>
      <c r="DJ80" s="2"/>
      <c r="DK80" s="5"/>
      <c r="DL80" s="2"/>
      <c r="DM80" s="2"/>
      <c r="DN80" s="2"/>
      <c r="DO80" s="2"/>
      <c r="DP80" s="2"/>
      <c r="DQ80" s="2"/>
      <c r="DR80" s="2"/>
      <c r="DS80" s="2"/>
      <c r="DT80" s="2"/>
      <c r="DU80" s="2"/>
      <c r="DV80" s="2"/>
      <c r="DW80" s="2"/>
      <c r="DX80" s="2"/>
      <c r="DY80" s="2"/>
      <c r="DZ80" s="2"/>
      <c r="EA80" s="2"/>
      <c r="EB80" s="2"/>
      <c r="EC80" s="2"/>
      <c r="ED80" s="2"/>
      <c r="EE80" s="2"/>
      <c r="EF80" s="1"/>
      <c r="EG80" s="98"/>
      <c r="EH80" s="98"/>
      <c r="EI80" s="1"/>
      <c r="EJ80" s="1"/>
      <c r="EK80" s="98"/>
      <c r="EL80" s="1"/>
    </row>
    <row r="81" spans="1:142">
      <c r="A81" s="32">
        <f t="shared" si="46"/>
        <v>4661</v>
      </c>
      <c r="B81" s="3" t="str">
        <f t="shared" si="47"/>
        <v>sv_statement//Statement//Export Statement&amp;PDFID=Bessie Dorsett_4661&amp;SO=Y</v>
      </c>
      <c r="C81" s="5" t="str">
        <f t="shared" si="88"/>
        <v>Statement</v>
      </c>
      <c r="D81" s="5" t="str">
        <f t="shared" si="48"/>
        <v>Bessie Dorsett_4661</v>
      </c>
      <c r="E81" s="5"/>
      <c r="F81" s="5">
        <v>4661</v>
      </c>
      <c r="G81" s="22" t="s">
        <v>325</v>
      </c>
      <c r="H81" s="5" t="s">
        <v>250</v>
      </c>
      <c r="I81" s="5" t="s">
        <v>326</v>
      </c>
      <c r="J81" s="5" t="s">
        <v>220</v>
      </c>
      <c r="K81" s="5" t="s">
        <v>221</v>
      </c>
      <c r="L81" s="31">
        <f t="shared" si="49"/>
        <v>29269</v>
      </c>
      <c r="M81" s="5" t="s">
        <v>287</v>
      </c>
      <c r="N81" s="22" t="s">
        <v>155</v>
      </c>
      <c r="O81" s="100">
        <v>37648</v>
      </c>
      <c r="P81" s="146">
        <f>VLOOKUP(I81,'Job Codes'!$B$2:$I$120,4,FALSE)</f>
        <v>23000</v>
      </c>
      <c r="Q81" s="146">
        <f>VLOOKUP(I81,'Job Codes'!$B$2:$I$120,5,FALSE)</f>
        <v>29900</v>
      </c>
      <c r="R81" s="146">
        <f>VLOOKUP(I81,'Job Codes'!$B$2:$I$120,6,FALSE)</f>
        <v>35880</v>
      </c>
      <c r="S81" s="22" t="s">
        <v>171</v>
      </c>
      <c r="T81" s="146">
        <v>36379</v>
      </c>
      <c r="U81" s="8">
        <f>VLOOKUP(S81,Data!$H$22:$I$25,2,FALSE)*T81</f>
        <v>36379</v>
      </c>
      <c r="V81" s="180">
        <f t="shared" si="50"/>
        <v>1.2166889632107023</v>
      </c>
      <c r="W81" s="180">
        <f t="shared" si="51"/>
        <v>0</v>
      </c>
      <c r="X81" s="22" t="str">
        <f t="shared" si="52"/>
        <v>No</v>
      </c>
      <c r="Y81" s="180">
        <f t="shared" si="53"/>
        <v>0</v>
      </c>
      <c r="Z81" s="146">
        <f t="shared" si="54"/>
        <v>0</v>
      </c>
      <c r="AA81" s="146">
        <f t="shared" si="55"/>
        <v>0</v>
      </c>
      <c r="AB81" s="72"/>
      <c r="AC81" s="146">
        <f>AB81/VLOOKUP(S81,Data!$H$22:$I$25,2,FALSE)</f>
        <v>0</v>
      </c>
      <c r="AD81" s="22" t="s">
        <v>157</v>
      </c>
      <c r="AE81" s="146">
        <f>VLOOKUP(S81,Data!$H$22:$J$25,3,FALSE)*T81</f>
        <v>1091.3699999999999</v>
      </c>
      <c r="AF81" s="8">
        <f>VLOOKUP(S81,Data!$H$22:$I$25,2,FALSE)*AE81</f>
        <v>1091.3699999999999</v>
      </c>
      <c r="AG81" s="8" t="s">
        <v>178</v>
      </c>
      <c r="AH81" s="23">
        <v>2.5000000000000001E-2</v>
      </c>
      <c r="AI81" s="72"/>
      <c r="AJ81" s="159">
        <f t="shared" si="56"/>
        <v>2.5000000000000001E-2</v>
      </c>
      <c r="AK81" s="168">
        <f t="shared" si="89"/>
        <v>909.47500000000002</v>
      </c>
      <c r="AL81" s="160">
        <f t="shared" si="90"/>
        <v>909.47500000000002</v>
      </c>
      <c r="AM81" s="168">
        <f t="shared" si="57"/>
        <v>37288.474999999999</v>
      </c>
      <c r="AN81" s="160">
        <f t="shared" si="58"/>
        <v>37288.474999999999</v>
      </c>
      <c r="AO81" s="160" t="str">
        <f t="shared" si="91"/>
        <v>Yes by USD 1,408</v>
      </c>
      <c r="AP81" s="146">
        <f>IF(AQ81=0,0,AQ81/VLOOKUP(S81,Data!$H$22:$I$25,2,FALSE))</f>
        <v>909.47500000000002</v>
      </c>
      <c r="AQ81" s="183">
        <f t="shared" si="59"/>
        <v>909.47500000000002</v>
      </c>
      <c r="AR81" s="165">
        <f t="shared" si="60"/>
        <v>0</v>
      </c>
      <c r="AS81" s="183">
        <f t="shared" si="61"/>
        <v>0</v>
      </c>
      <c r="AT81" s="250">
        <f t="shared" si="62"/>
        <v>0</v>
      </c>
      <c r="AU81" s="146">
        <f t="shared" si="63"/>
        <v>36379</v>
      </c>
      <c r="AV81" s="8">
        <f t="shared" si="64"/>
        <v>36379</v>
      </c>
      <c r="AW81" s="8" t="str">
        <f t="shared" si="65"/>
        <v>Employee to receive full proposed merit increase as a lump sum</v>
      </c>
      <c r="AX81" s="180">
        <f t="shared" si="66"/>
        <v>1.2166889632107023</v>
      </c>
      <c r="AY81" s="146">
        <f t="shared" si="67"/>
        <v>0</v>
      </c>
      <c r="AZ81" s="146">
        <f t="shared" si="68"/>
        <v>0</v>
      </c>
      <c r="BA81" s="22" t="s">
        <v>159</v>
      </c>
      <c r="BB81" s="149"/>
      <c r="BC81" s="149"/>
      <c r="BD81" s="144"/>
      <c r="BE81" s="146" t="str">
        <f t="shared" si="69"/>
        <v/>
      </c>
      <c r="BF81" s="8" t="str">
        <f t="shared" si="70"/>
        <v/>
      </c>
      <c r="BG81" s="8" t="str">
        <f>IF(LEN(BC81)&gt;0,VLOOKUP(BC81,'Job Codes'!B74:I192,7,FALSE),"")</f>
        <v/>
      </c>
      <c r="BH81" s="192" t="str">
        <f>IF(LEN(BC81)&gt;0,VLOOKUP(BC81,'Job Codes'!B74:I192,8,FALSE),"")</f>
        <v/>
      </c>
      <c r="BI81" s="192" t="str">
        <f>IF(LEN(BC81)&gt;0,VLOOKUP(BC81,'Job Codes'!$B$2:$J$120,9,FALSE),"")</f>
        <v/>
      </c>
      <c r="BJ81" s="146" t="str">
        <f>IF(LEN(BC81)&gt;0,VLOOKUP(BC81,'Job Codes'!$B$2:$I$120,4,FALSE),"")</f>
        <v/>
      </c>
      <c r="BK81" s="146" t="str">
        <f>IF(LEN(BC81)&gt;0,VLOOKUP(BC81,'Job Codes'!$B$2:$I$120,5,FALSE),"")</f>
        <v/>
      </c>
      <c r="BL81" s="146" t="str">
        <f>IF(LEN(BC81)&gt;0,VLOOKUP(BC81,'Job Codes'!$B$2:$I$120,6,FALSE),"")</f>
        <v/>
      </c>
      <c r="BM81" s="168">
        <f t="shared" si="71"/>
        <v>36379</v>
      </c>
      <c r="BN81" s="160">
        <f t="shared" si="72"/>
        <v>36379</v>
      </c>
      <c r="BO81" s="22" t="s">
        <v>159</v>
      </c>
      <c r="BP81" s="157">
        <f>VLOOKUP(I81,'Job Codes'!$B$2:$I$120,8,FALSE)</f>
        <v>0</v>
      </c>
      <c r="BQ81" s="25" t="str">
        <f>IF(O81&gt;Data!$H$33,"Yes","No")</f>
        <v>No</v>
      </c>
      <c r="BR81" s="191">
        <v>0</v>
      </c>
      <c r="BS81" s="150">
        <f t="shared" si="73"/>
        <v>0</v>
      </c>
      <c r="BT81" s="25">
        <f t="shared" si="74"/>
        <v>0</v>
      </c>
      <c r="BU81" s="161">
        <v>1</v>
      </c>
      <c r="BV81" s="168">
        <f t="shared" si="75"/>
        <v>0</v>
      </c>
      <c r="BW81" s="160">
        <f t="shared" si="76"/>
        <v>0</v>
      </c>
      <c r="BX81" s="149"/>
      <c r="BY81" s="32">
        <f t="shared" si="77"/>
        <v>0</v>
      </c>
      <c r="BZ81" s="22" t="s">
        <v>159</v>
      </c>
      <c r="CA81" s="231">
        <f>VLOOKUP(I81,'Job Codes'!$B$2:$J$120,9,FALSE)</f>
        <v>0</v>
      </c>
      <c r="CB81" s="253">
        <f t="shared" si="78"/>
        <v>0</v>
      </c>
      <c r="CC81" s="72"/>
      <c r="CD81" s="25" t="str">
        <f t="shared" si="79"/>
        <v>Meets</v>
      </c>
      <c r="CE81" s="27"/>
      <c r="CF81" s="27"/>
      <c r="CG81" s="27"/>
      <c r="CH81" s="27"/>
      <c r="CI81" s="27"/>
      <c r="CJ81" s="3">
        <v>29271</v>
      </c>
      <c r="CK81" s="3" t="s">
        <v>255</v>
      </c>
      <c r="CL81" s="3">
        <v>4569</v>
      </c>
      <c r="CM81" s="3" t="s">
        <v>161</v>
      </c>
      <c r="CN81" s="3">
        <v>4571</v>
      </c>
      <c r="CO81" s="3" t="s">
        <v>162</v>
      </c>
      <c r="CP81" s="3">
        <v>12345</v>
      </c>
      <c r="CQ81" s="3" t="s">
        <v>163</v>
      </c>
      <c r="CR81" s="246" t="s">
        <v>164</v>
      </c>
      <c r="CS81" s="5" t="s">
        <v>165</v>
      </c>
      <c r="CT81" s="246" t="s">
        <v>256</v>
      </c>
      <c r="CU81" s="247" t="s">
        <v>257</v>
      </c>
      <c r="CV81" s="3" t="str">
        <f t="shared" si="80"/>
        <v>67890;86672</v>
      </c>
      <c r="CW81" s="3" t="s">
        <v>168</v>
      </c>
      <c r="CX81" s="3" t="str">
        <f t="shared" si="81"/>
        <v>AB81;;BB81:BD81;BU81;BX81</v>
      </c>
      <c r="CY81" s="5" t="str">
        <f t="shared" si="82"/>
        <v>Unlock</v>
      </c>
      <c r="CZ81" s="5" t="str">
        <f t="shared" si="83"/>
        <v>Lock</v>
      </c>
      <c r="DA81" s="5" t="str">
        <f t="shared" si="84"/>
        <v>Lock</v>
      </c>
      <c r="DB81" s="5" t="str">
        <f t="shared" si="85"/>
        <v>Lock</v>
      </c>
      <c r="DC81" s="5" t="str">
        <f t="shared" si="86"/>
        <v>Lock</v>
      </c>
      <c r="DD81" s="78">
        <f t="shared" si="87"/>
        <v>2</v>
      </c>
      <c r="DE81" s="2"/>
      <c r="DF81" s="2"/>
      <c r="DG81" s="2"/>
      <c r="DH81" s="2"/>
      <c r="DI81" s="2"/>
      <c r="DJ81" s="2"/>
      <c r="DK81" s="5"/>
      <c r="DL81" s="2"/>
      <c r="DM81" s="2"/>
      <c r="DN81" s="2"/>
      <c r="DO81" s="2"/>
      <c r="DP81" s="2"/>
      <c r="DQ81" s="2"/>
      <c r="DR81" s="2"/>
      <c r="DS81" s="2"/>
      <c r="DT81" s="2"/>
      <c r="DU81" s="2"/>
      <c r="DV81" s="2"/>
      <c r="DW81" s="2"/>
      <c r="DX81" s="2"/>
      <c r="DY81" s="2"/>
      <c r="DZ81" s="2"/>
      <c r="EA81" s="2"/>
      <c r="EB81" s="2"/>
      <c r="EC81" s="2"/>
      <c r="ED81" s="2"/>
      <c r="EE81" s="2"/>
      <c r="EF81" s="1"/>
      <c r="EG81" s="98"/>
      <c r="EH81" s="98"/>
      <c r="EI81" s="1"/>
      <c r="EJ81" s="1"/>
      <c r="EK81" s="98"/>
      <c r="EL81" s="1"/>
    </row>
    <row r="82" spans="1:142">
      <c r="A82" s="32">
        <f t="shared" si="46"/>
        <v>4738</v>
      </c>
      <c r="B82" s="3" t="str">
        <f t="shared" si="47"/>
        <v>sv_statement//Statement//Export Statement&amp;PDFID=Audrey Fields_4738&amp;SO=Y</v>
      </c>
      <c r="C82" s="5" t="str">
        <f t="shared" si="88"/>
        <v>Statement</v>
      </c>
      <c r="D82" s="5" t="str">
        <f t="shared" si="48"/>
        <v>Audrey Fields_4738</v>
      </c>
      <c r="E82" s="5"/>
      <c r="F82" s="5">
        <v>4738</v>
      </c>
      <c r="G82" s="22" t="s">
        <v>327</v>
      </c>
      <c r="H82" s="5" t="s">
        <v>173</v>
      </c>
      <c r="I82" s="5" t="s">
        <v>174</v>
      </c>
      <c r="J82" s="5" t="s">
        <v>220</v>
      </c>
      <c r="K82" s="5" t="s">
        <v>328</v>
      </c>
      <c r="L82" s="31">
        <f t="shared" si="49"/>
        <v>11308</v>
      </c>
      <c r="M82" s="5" t="s">
        <v>154</v>
      </c>
      <c r="N82" s="22" t="s">
        <v>155</v>
      </c>
      <c r="O82" s="100">
        <v>37655</v>
      </c>
      <c r="P82" s="146">
        <f>VLOOKUP(I82,'Job Codes'!$B$2:$I$120,4,FALSE)</f>
        <v>37000</v>
      </c>
      <c r="Q82" s="146">
        <f>VLOOKUP(I82,'Job Codes'!$B$2:$I$120,5,FALSE)</f>
        <v>48100</v>
      </c>
      <c r="R82" s="146">
        <f>VLOOKUP(I82,'Job Codes'!$B$2:$I$120,6,FALSE)</f>
        <v>57720</v>
      </c>
      <c r="S82" s="22" t="s">
        <v>171</v>
      </c>
      <c r="T82" s="146">
        <v>46000</v>
      </c>
      <c r="U82" s="8">
        <f>VLOOKUP(S82,Data!$H$22:$I$25,2,FALSE)*T82</f>
        <v>46000</v>
      </c>
      <c r="V82" s="180">
        <f t="shared" si="50"/>
        <v>0.95634095634095639</v>
      </c>
      <c r="W82" s="180">
        <f t="shared" si="51"/>
        <v>4.5652173913043478E-2</v>
      </c>
      <c r="X82" s="22" t="str">
        <f t="shared" si="52"/>
        <v>No</v>
      </c>
      <c r="Y82" s="180">
        <f t="shared" si="53"/>
        <v>0</v>
      </c>
      <c r="Z82" s="146">
        <f t="shared" si="54"/>
        <v>0</v>
      </c>
      <c r="AA82" s="146">
        <f t="shared" si="55"/>
        <v>0</v>
      </c>
      <c r="AB82" s="72"/>
      <c r="AC82" s="146">
        <f>AB82/VLOOKUP(S82,Data!$H$22:$I$25,2,FALSE)</f>
        <v>0</v>
      </c>
      <c r="AD82" s="22" t="s">
        <v>157</v>
      </c>
      <c r="AE82" s="146">
        <f>VLOOKUP(S82,Data!$H$22:$J$25,3,FALSE)*T82</f>
        <v>1380</v>
      </c>
      <c r="AF82" s="8">
        <f>VLOOKUP(S82,Data!$H$22:$I$25,2,FALSE)*AE82</f>
        <v>1380</v>
      </c>
      <c r="AG82" s="8" t="s">
        <v>178</v>
      </c>
      <c r="AH82" s="23">
        <v>2.5000000000000001E-2</v>
      </c>
      <c r="AI82" s="72"/>
      <c r="AJ82" s="159">
        <f t="shared" si="56"/>
        <v>2.5000000000000001E-2</v>
      </c>
      <c r="AK82" s="168">
        <f t="shared" si="89"/>
        <v>1150</v>
      </c>
      <c r="AL82" s="160">
        <f t="shared" si="90"/>
        <v>1150</v>
      </c>
      <c r="AM82" s="168">
        <f t="shared" si="57"/>
        <v>47150</v>
      </c>
      <c r="AN82" s="160">
        <f t="shared" si="58"/>
        <v>47150</v>
      </c>
      <c r="AO82" s="160" t="str">
        <f t="shared" si="91"/>
        <v>No</v>
      </c>
      <c r="AP82" s="146">
        <f>IF(AQ82=0,0,AQ82/VLOOKUP(S82,Data!$H$22:$I$25,2,FALSE))</f>
        <v>0</v>
      </c>
      <c r="AQ82" s="183">
        <f t="shared" si="59"/>
        <v>0</v>
      </c>
      <c r="AR82" s="165">
        <f t="shared" si="60"/>
        <v>1150</v>
      </c>
      <c r="AS82" s="183">
        <f t="shared" si="61"/>
        <v>1150</v>
      </c>
      <c r="AT82" s="250">
        <f t="shared" si="62"/>
        <v>2.5000000000000001E-2</v>
      </c>
      <c r="AU82" s="146">
        <f t="shared" si="63"/>
        <v>47150</v>
      </c>
      <c r="AV82" s="8">
        <f t="shared" si="64"/>
        <v>47150</v>
      </c>
      <c r="AW82" s="8" t="str">
        <f t="shared" si="65"/>
        <v/>
      </c>
      <c r="AX82" s="180">
        <f t="shared" si="66"/>
        <v>0.98024948024948022</v>
      </c>
      <c r="AY82" s="146">
        <f t="shared" si="67"/>
        <v>0</v>
      </c>
      <c r="AZ82" s="146">
        <f t="shared" si="68"/>
        <v>0</v>
      </c>
      <c r="BA82" s="22" t="s">
        <v>159</v>
      </c>
      <c r="BB82" s="149"/>
      <c r="BC82" s="149"/>
      <c r="BD82" s="144"/>
      <c r="BE82" s="146" t="str">
        <f t="shared" si="69"/>
        <v/>
      </c>
      <c r="BF82" s="8" t="str">
        <f t="shared" si="70"/>
        <v/>
      </c>
      <c r="BG82" s="8" t="str">
        <f>IF(LEN(BC82)&gt;0,VLOOKUP(BC82,'Job Codes'!B75:I193,7,FALSE),"")</f>
        <v/>
      </c>
      <c r="BH82" s="192" t="str">
        <f>IF(LEN(BC82)&gt;0,VLOOKUP(BC82,'Job Codes'!B75:I193,8,FALSE),"")</f>
        <v/>
      </c>
      <c r="BI82" s="192" t="str">
        <f>IF(LEN(BC82)&gt;0,VLOOKUP(BC82,'Job Codes'!$B$2:$J$120,9,FALSE),"")</f>
        <v/>
      </c>
      <c r="BJ82" s="146" t="str">
        <f>IF(LEN(BC82)&gt;0,VLOOKUP(BC82,'Job Codes'!$B$2:$I$120,4,FALSE),"")</f>
        <v/>
      </c>
      <c r="BK82" s="146" t="str">
        <f>IF(LEN(BC82)&gt;0,VLOOKUP(BC82,'Job Codes'!$B$2:$I$120,5,FALSE),"")</f>
        <v/>
      </c>
      <c r="BL82" s="146" t="str">
        <f>IF(LEN(BC82)&gt;0,VLOOKUP(BC82,'Job Codes'!$B$2:$I$120,6,FALSE),"")</f>
        <v/>
      </c>
      <c r="BM82" s="168">
        <f t="shared" si="71"/>
        <v>47150</v>
      </c>
      <c r="BN82" s="160">
        <f t="shared" si="72"/>
        <v>47150</v>
      </c>
      <c r="BO82" s="22" t="s">
        <v>157</v>
      </c>
      <c r="BP82" s="157">
        <f>VLOOKUP(I82,'Job Codes'!$B$2:$I$120,8,FALSE)</f>
        <v>0.15</v>
      </c>
      <c r="BQ82" s="25" t="str">
        <f>IF(O82&gt;Data!$H$33,"Yes","No")</f>
        <v>No</v>
      </c>
      <c r="BR82" s="191">
        <v>0.15</v>
      </c>
      <c r="BS82" s="150">
        <f t="shared" si="73"/>
        <v>6900</v>
      </c>
      <c r="BT82" s="25">
        <f t="shared" si="74"/>
        <v>6900</v>
      </c>
      <c r="BU82" s="161">
        <v>1</v>
      </c>
      <c r="BV82" s="168">
        <f t="shared" si="75"/>
        <v>6900</v>
      </c>
      <c r="BW82" s="160">
        <f t="shared" si="76"/>
        <v>6900</v>
      </c>
      <c r="BX82" s="149"/>
      <c r="BY82" s="32">
        <f t="shared" si="77"/>
        <v>0</v>
      </c>
      <c r="BZ82" s="22" t="s">
        <v>157</v>
      </c>
      <c r="CA82" s="231">
        <f>VLOOKUP(I82,'Job Codes'!$B$2:$J$120,9,FALSE)</f>
        <v>0.15</v>
      </c>
      <c r="CB82" s="253">
        <f t="shared" si="78"/>
        <v>6900</v>
      </c>
      <c r="CC82" s="72"/>
      <c r="CD82" s="25" t="str">
        <f t="shared" si="79"/>
        <v>Meets</v>
      </c>
      <c r="CE82" s="27"/>
      <c r="CF82" s="27"/>
      <c r="CG82" s="27"/>
      <c r="CH82" s="27"/>
      <c r="CI82" s="27"/>
      <c r="CJ82" s="3"/>
      <c r="CK82" s="3"/>
      <c r="CL82" s="3">
        <v>4569</v>
      </c>
      <c r="CM82" s="3" t="s">
        <v>161</v>
      </c>
      <c r="CN82" s="3">
        <v>4571</v>
      </c>
      <c r="CO82" s="3" t="s">
        <v>162</v>
      </c>
      <c r="CP82" s="3">
        <v>12345</v>
      </c>
      <c r="CQ82" s="3" t="s">
        <v>163</v>
      </c>
      <c r="CR82" s="246" t="s">
        <v>164</v>
      </c>
      <c r="CS82" s="247" t="s">
        <v>165</v>
      </c>
      <c r="CT82" s="246" t="s">
        <v>166</v>
      </c>
      <c r="CU82" s="247" t="s">
        <v>167</v>
      </c>
      <c r="CV82" s="3" t="str">
        <f t="shared" si="80"/>
        <v>67890;99485</v>
      </c>
      <c r="CW82" s="3" t="s">
        <v>168</v>
      </c>
      <c r="CX82" s="3" t="str">
        <f t="shared" si="81"/>
        <v>AB82;;BB82:BD82;;</v>
      </c>
      <c r="CY82" s="5" t="str">
        <f t="shared" si="82"/>
        <v>Unlock</v>
      </c>
      <c r="CZ82" s="5" t="str">
        <f t="shared" si="83"/>
        <v>Lock</v>
      </c>
      <c r="DA82" s="5" t="str">
        <f t="shared" si="84"/>
        <v>Lock</v>
      </c>
      <c r="DB82" s="5" t="str">
        <f t="shared" si="85"/>
        <v>Lock</v>
      </c>
      <c r="DC82" s="5" t="str">
        <f t="shared" si="86"/>
        <v>Lock</v>
      </c>
      <c r="DD82" s="78">
        <f t="shared" si="87"/>
        <v>3</v>
      </c>
      <c r="DE82" s="2"/>
      <c r="DF82" s="2"/>
      <c r="DG82" s="2"/>
      <c r="DH82" s="2"/>
      <c r="DI82" s="2"/>
      <c r="DJ82" s="2"/>
      <c r="DK82" s="5"/>
      <c r="DL82" s="2"/>
      <c r="DM82" s="2"/>
      <c r="DN82" s="2"/>
      <c r="DO82" s="2"/>
      <c r="DP82" s="2"/>
      <c r="DQ82" s="2"/>
      <c r="DR82" s="2"/>
      <c r="DS82" s="2"/>
      <c r="DT82" s="2"/>
      <c r="DU82" s="2"/>
      <c r="DV82" s="2"/>
      <c r="DW82" s="2"/>
      <c r="DX82" s="2"/>
      <c r="DY82" s="2"/>
      <c r="DZ82" s="2"/>
      <c r="EA82" s="2"/>
      <c r="EB82" s="2"/>
      <c r="EC82" s="2"/>
      <c r="ED82" s="2"/>
      <c r="EE82" s="2"/>
      <c r="EF82" s="1"/>
      <c r="EG82" s="98"/>
      <c r="EH82" s="98"/>
      <c r="EI82" s="1"/>
      <c r="EJ82" s="1"/>
      <c r="EK82" s="98"/>
      <c r="EL82" s="1"/>
    </row>
    <row r="83" spans="1:142">
      <c r="A83" s="32">
        <f t="shared" si="46"/>
        <v>4793</v>
      </c>
      <c r="B83" s="3" t="str">
        <f t="shared" si="47"/>
        <v>sv_statement//Statement//Export Statement&amp;PDFID=Penny Lingle_4793&amp;SO=Y</v>
      </c>
      <c r="C83" s="5" t="str">
        <f t="shared" si="88"/>
        <v>Statement</v>
      </c>
      <c r="D83" s="5" t="str">
        <f t="shared" si="48"/>
        <v>Penny Lingle_4793</v>
      </c>
      <c r="E83" s="5"/>
      <c r="F83" s="5">
        <v>4793</v>
      </c>
      <c r="G83" s="22" t="s">
        <v>329</v>
      </c>
      <c r="H83" s="5" t="s">
        <v>296</v>
      </c>
      <c r="I83" s="5" t="s">
        <v>330</v>
      </c>
      <c r="J83" s="5" t="s">
        <v>220</v>
      </c>
      <c r="K83" s="5" t="s">
        <v>328</v>
      </c>
      <c r="L83" s="31">
        <f t="shared" si="49"/>
        <v>11308</v>
      </c>
      <c r="M83" s="5" t="s">
        <v>154</v>
      </c>
      <c r="N83" s="22" t="s">
        <v>155</v>
      </c>
      <c r="O83" s="100">
        <v>37655</v>
      </c>
      <c r="P83" s="146">
        <f>VLOOKUP(I83,'Job Codes'!$B$2:$I$120,4,FALSE)</f>
        <v>29000</v>
      </c>
      <c r="Q83" s="146">
        <f>VLOOKUP(I83,'Job Codes'!$B$2:$I$120,5,FALSE)</f>
        <v>37700</v>
      </c>
      <c r="R83" s="146">
        <f>VLOOKUP(I83,'Job Codes'!$B$2:$I$120,6,FALSE)</f>
        <v>45240</v>
      </c>
      <c r="S83" s="22" t="s">
        <v>171</v>
      </c>
      <c r="T83" s="146">
        <v>37274</v>
      </c>
      <c r="U83" s="8">
        <f>VLOOKUP(S83,Data!$H$22:$I$25,2,FALSE)*T83</f>
        <v>37274</v>
      </c>
      <c r="V83" s="180">
        <f t="shared" si="50"/>
        <v>0.9887002652519894</v>
      </c>
      <c r="W83" s="180">
        <f t="shared" si="51"/>
        <v>1.1428878038310887E-2</v>
      </c>
      <c r="X83" s="22" t="str">
        <f t="shared" si="52"/>
        <v>No</v>
      </c>
      <c r="Y83" s="180">
        <f t="shared" si="53"/>
        <v>0</v>
      </c>
      <c r="Z83" s="146">
        <f t="shared" si="54"/>
        <v>0</v>
      </c>
      <c r="AA83" s="146">
        <f t="shared" si="55"/>
        <v>0</v>
      </c>
      <c r="AB83" s="72"/>
      <c r="AC83" s="146">
        <f>AB83/VLOOKUP(S83,Data!$H$22:$I$25,2,FALSE)</f>
        <v>0</v>
      </c>
      <c r="AD83" s="22" t="s">
        <v>157</v>
      </c>
      <c r="AE83" s="146">
        <f>VLOOKUP(S83,Data!$H$22:$J$25,3,FALSE)*T83</f>
        <v>1118.22</v>
      </c>
      <c r="AF83" s="8">
        <f>VLOOKUP(S83,Data!$H$22:$I$25,2,FALSE)*AE83</f>
        <v>1118.22</v>
      </c>
      <c r="AG83" s="8" t="s">
        <v>178</v>
      </c>
      <c r="AH83" s="23">
        <v>1.4999999999999999E-2</v>
      </c>
      <c r="AI83" s="72"/>
      <c r="AJ83" s="159">
        <f t="shared" si="56"/>
        <v>1.5000000000000001E-2</v>
      </c>
      <c r="AK83" s="168">
        <f t="shared" si="89"/>
        <v>559.11</v>
      </c>
      <c r="AL83" s="160">
        <f t="shared" si="90"/>
        <v>559.11</v>
      </c>
      <c r="AM83" s="168">
        <f t="shared" si="57"/>
        <v>37833.11</v>
      </c>
      <c r="AN83" s="160">
        <f t="shared" si="58"/>
        <v>37833.11</v>
      </c>
      <c r="AO83" s="160" t="str">
        <f t="shared" si="91"/>
        <v>No</v>
      </c>
      <c r="AP83" s="146">
        <f>IF(AQ83=0,0,AQ83/VLOOKUP(S83,Data!$H$22:$I$25,2,FALSE))</f>
        <v>0</v>
      </c>
      <c r="AQ83" s="183">
        <f t="shared" si="59"/>
        <v>0</v>
      </c>
      <c r="AR83" s="165">
        <f t="shared" si="60"/>
        <v>559.11</v>
      </c>
      <c r="AS83" s="183">
        <f t="shared" si="61"/>
        <v>559.11</v>
      </c>
      <c r="AT83" s="250">
        <f t="shared" si="62"/>
        <v>1.5000000000000001E-2</v>
      </c>
      <c r="AU83" s="146">
        <f t="shared" si="63"/>
        <v>37833.11</v>
      </c>
      <c r="AV83" s="8">
        <f t="shared" si="64"/>
        <v>37833.11</v>
      </c>
      <c r="AW83" s="8" t="str">
        <f t="shared" si="65"/>
        <v/>
      </c>
      <c r="AX83" s="180">
        <f t="shared" si="66"/>
        <v>1.0035307692307693</v>
      </c>
      <c r="AY83" s="146">
        <f t="shared" si="67"/>
        <v>0</v>
      </c>
      <c r="AZ83" s="146">
        <f t="shared" si="68"/>
        <v>0</v>
      </c>
      <c r="BA83" s="22" t="s">
        <v>159</v>
      </c>
      <c r="BB83" s="149"/>
      <c r="BC83" s="149"/>
      <c r="BD83" s="144"/>
      <c r="BE83" s="146" t="str">
        <f t="shared" si="69"/>
        <v/>
      </c>
      <c r="BF83" s="8" t="str">
        <f t="shared" si="70"/>
        <v/>
      </c>
      <c r="BG83" s="8" t="str">
        <f>IF(LEN(BC83)&gt;0,VLOOKUP(BC83,'Job Codes'!B76:I194,7,FALSE),"")</f>
        <v/>
      </c>
      <c r="BH83" s="192" t="str">
        <f>IF(LEN(BC83)&gt;0,VLOOKUP(BC83,'Job Codes'!B76:I194,8,FALSE),"")</f>
        <v/>
      </c>
      <c r="BI83" s="192" t="str">
        <f>IF(LEN(BC83)&gt;0,VLOOKUP(BC83,'Job Codes'!$B$2:$J$120,9,FALSE),"")</f>
        <v/>
      </c>
      <c r="BJ83" s="146" t="str">
        <f>IF(LEN(BC83)&gt;0,VLOOKUP(BC83,'Job Codes'!$B$2:$I$120,4,FALSE),"")</f>
        <v/>
      </c>
      <c r="BK83" s="146" t="str">
        <f>IF(LEN(BC83)&gt;0,VLOOKUP(BC83,'Job Codes'!$B$2:$I$120,5,FALSE),"")</f>
        <v/>
      </c>
      <c r="BL83" s="146" t="str">
        <f>IF(LEN(BC83)&gt;0,VLOOKUP(BC83,'Job Codes'!$B$2:$I$120,6,FALSE),"")</f>
        <v/>
      </c>
      <c r="BM83" s="168">
        <f t="shared" si="71"/>
        <v>37833.11</v>
      </c>
      <c r="BN83" s="160">
        <f t="shared" si="72"/>
        <v>37833.11</v>
      </c>
      <c r="BO83" s="22" t="s">
        <v>157</v>
      </c>
      <c r="BP83" s="157">
        <f>VLOOKUP(I83,'Job Codes'!$B$2:$I$120,8,FALSE)</f>
        <v>0.1</v>
      </c>
      <c r="BQ83" s="25" t="str">
        <f>IF(O83&gt;Data!$H$33,"Yes","No")</f>
        <v>No</v>
      </c>
      <c r="BR83" s="191">
        <v>0.1</v>
      </c>
      <c r="BS83" s="150">
        <f t="shared" si="73"/>
        <v>3727.4</v>
      </c>
      <c r="BT83" s="25">
        <f t="shared" si="74"/>
        <v>3727.4</v>
      </c>
      <c r="BU83" s="161">
        <v>1</v>
      </c>
      <c r="BV83" s="168">
        <f t="shared" si="75"/>
        <v>3727.4</v>
      </c>
      <c r="BW83" s="160">
        <f t="shared" si="76"/>
        <v>3727.4</v>
      </c>
      <c r="BX83" s="149"/>
      <c r="BY83" s="32">
        <f t="shared" si="77"/>
        <v>0</v>
      </c>
      <c r="BZ83" s="22" t="s">
        <v>157</v>
      </c>
      <c r="CA83" s="231">
        <f>VLOOKUP(I83,'Job Codes'!$B$2:$J$120,9,FALSE)</f>
        <v>0.05</v>
      </c>
      <c r="CB83" s="253">
        <f t="shared" si="78"/>
        <v>1863.7</v>
      </c>
      <c r="CC83" s="72"/>
      <c r="CD83" s="25" t="str">
        <f t="shared" si="79"/>
        <v>Meets</v>
      </c>
      <c r="CE83" s="27"/>
      <c r="CF83" s="27"/>
      <c r="CG83" s="27"/>
      <c r="CH83" s="27"/>
      <c r="CI83" s="27"/>
      <c r="CJ83" s="3"/>
      <c r="CK83" s="3"/>
      <c r="CL83" s="3">
        <v>4569</v>
      </c>
      <c r="CM83" s="3" t="s">
        <v>161</v>
      </c>
      <c r="CN83" s="3">
        <v>4571</v>
      </c>
      <c r="CO83" s="3" t="s">
        <v>162</v>
      </c>
      <c r="CP83" s="3">
        <v>12345</v>
      </c>
      <c r="CQ83" s="3" t="s">
        <v>163</v>
      </c>
      <c r="CR83" s="246" t="s">
        <v>164</v>
      </c>
      <c r="CS83" s="247" t="s">
        <v>165</v>
      </c>
      <c r="CT83" s="246" t="s">
        <v>166</v>
      </c>
      <c r="CU83" s="247" t="s">
        <v>167</v>
      </c>
      <c r="CV83" s="3" t="str">
        <f t="shared" si="80"/>
        <v>67890;99485</v>
      </c>
      <c r="CW83" s="3" t="s">
        <v>168</v>
      </c>
      <c r="CX83" s="3" t="str">
        <f t="shared" si="81"/>
        <v>AB83;;BB83:BD83;;</v>
      </c>
      <c r="CY83" s="5" t="str">
        <f t="shared" si="82"/>
        <v>Unlock</v>
      </c>
      <c r="CZ83" s="5" t="str">
        <f t="shared" si="83"/>
        <v>Lock</v>
      </c>
      <c r="DA83" s="5" t="str">
        <f t="shared" si="84"/>
        <v>Lock</v>
      </c>
      <c r="DB83" s="5" t="str">
        <f t="shared" si="85"/>
        <v>Lock</v>
      </c>
      <c r="DC83" s="5" t="str">
        <f t="shared" si="86"/>
        <v>Lock</v>
      </c>
      <c r="DD83" s="78">
        <f t="shared" si="87"/>
        <v>3</v>
      </c>
      <c r="DE83" s="2"/>
      <c r="DF83" s="2"/>
      <c r="DG83" s="2"/>
      <c r="DH83" s="2"/>
      <c r="DI83" s="2"/>
      <c r="DJ83" s="2"/>
      <c r="DK83" s="5"/>
      <c r="DL83" s="2"/>
      <c r="DM83" s="2"/>
      <c r="DN83" s="2"/>
      <c r="DO83" s="2"/>
      <c r="DP83" s="2"/>
      <c r="DQ83" s="2"/>
      <c r="DR83" s="2"/>
      <c r="DS83" s="2"/>
      <c r="DT83" s="2"/>
      <c r="DU83" s="2"/>
      <c r="DV83" s="2"/>
      <c r="DW83" s="2"/>
      <c r="DX83" s="2"/>
      <c r="DY83" s="2"/>
      <c r="DZ83" s="2"/>
      <c r="EA83" s="2"/>
      <c r="EB83" s="2"/>
      <c r="EC83" s="2"/>
      <c r="ED83" s="2"/>
      <c r="EE83" s="2"/>
      <c r="EF83" s="1"/>
      <c r="EG83" s="98"/>
      <c r="EH83" s="98"/>
      <c r="EI83" s="1"/>
      <c r="EJ83" s="1"/>
      <c r="EK83" s="98"/>
      <c r="EL83" s="1"/>
    </row>
    <row r="84" spans="1:142">
      <c r="A84" s="32">
        <f t="shared" si="46"/>
        <v>4855</v>
      </c>
      <c r="B84" s="3" t="str">
        <f t="shared" si="47"/>
        <v>sv_statement//Statement//Export Statement&amp;PDFID=Pam Ivie_4855&amp;SO=Y</v>
      </c>
      <c r="C84" s="5" t="str">
        <f t="shared" si="88"/>
        <v>Statement</v>
      </c>
      <c r="D84" s="5" t="str">
        <f t="shared" si="48"/>
        <v>Pam Ivie_4855</v>
      </c>
      <c r="E84" s="5"/>
      <c r="F84" s="5">
        <v>4855</v>
      </c>
      <c r="G84" s="22" t="s">
        <v>331</v>
      </c>
      <c r="H84" s="5" t="s">
        <v>250</v>
      </c>
      <c r="I84" s="5" t="s">
        <v>332</v>
      </c>
      <c r="J84" s="5" t="s">
        <v>252</v>
      </c>
      <c r="K84" s="5" t="s">
        <v>333</v>
      </c>
      <c r="L84" s="31">
        <f t="shared" si="49"/>
        <v>29326</v>
      </c>
      <c r="M84" s="5" t="s">
        <v>334</v>
      </c>
      <c r="N84" s="22" t="s">
        <v>155</v>
      </c>
      <c r="O84" s="100">
        <v>38194</v>
      </c>
      <c r="P84" s="146">
        <f>VLOOKUP(I84,'Job Codes'!$B$2:$I$120,4,FALSE)</f>
        <v>26500</v>
      </c>
      <c r="Q84" s="146">
        <f>VLOOKUP(I84,'Job Codes'!$B$2:$I$120,5,FALSE)</f>
        <v>34450</v>
      </c>
      <c r="R84" s="146">
        <f>VLOOKUP(I84,'Job Codes'!$B$2:$I$120,6,FALSE)</f>
        <v>41340</v>
      </c>
      <c r="S84" s="22" t="s">
        <v>171</v>
      </c>
      <c r="T84" s="146">
        <v>37731</v>
      </c>
      <c r="U84" s="8">
        <f>VLOOKUP(S84,Data!$H$22:$I$25,2,FALSE)*T84</f>
        <v>37731</v>
      </c>
      <c r="V84" s="180">
        <f t="shared" si="50"/>
        <v>1.0952394775036285</v>
      </c>
      <c r="W84" s="180">
        <f t="shared" si="51"/>
        <v>0</v>
      </c>
      <c r="X84" s="22" t="str">
        <f t="shared" si="52"/>
        <v>No</v>
      </c>
      <c r="Y84" s="180">
        <f t="shared" si="53"/>
        <v>0</v>
      </c>
      <c r="Z84" s="146">
        <f t="shared" si="54"/>
        <v>0</v>
      </c>
      <c r="AA84" s="146">
        <f t="shared" si="55"/>
        <v>0</v>
      </c>
      <c r="AB84" s="72"/>
      <c r="AC84" s="146">
        <f>AB84/VLOOKUP(S84,Data!$H$22:$I$25,2,FALSE)</f>
        <v>0</v>
      </c>
      <c r="AD84" s="22" t="s">
        <v>157</v>
      </c>
      <c r="AE84" s="146">
        <f>VLOOKUP(S84,Data!$H$22:$J$25,3,FALSE)*T84</f>
        <v>1131.93</v>
      </c>
      <c r="AF84" s="8">
        <f>VLOOKUP(S84,Data!$H$22:$I$25,2,FALSE)*AE84</f>
        <v>1131.93</v>
      </c>
      <c r="AG84" s="8" t="s">
        <v>178</v>
      </c>
      <c r="AH84" s="23">
        <v>2.5000000000000001E-2</v>
      </c>
      <c r="AI84" s="72"/>
      <c r="AJ84" s="159">
        <f t="shared" si="56"/>
        <v>2.5000000000000001E-2</v>
      </c>
      <c r="AK84" s="168">
        <f t="shared" si="89"/>
        <v>943.27500000000009</v>
      </c>
      <c r="AL84" s="160">
        <f t="shared" si="90"/>
        <v>943.27500000000009</v>
      </c>
      <c r="AM84" s="168">
        <f t="shared" si="57"/>
        <v>38674.275000000001</v>
      </c>
      <c r="AN84" s="160">
        <f t="shared" si="58"/>
        <v>38674.275000000001</v>
      </c>
      <c r="AO84" s="160" t="str">
        <f t="shared" si="91"/>
        <v>No</v>
      </c>
      <c r="AP84" s="146">
        <f>IF(AQ84=0,0,AQ84/VLOOKUP(S84,Data!$H$22:$I$25,2,FALSE))</f>
        <v>0</v>
      </c>
      <c r="AQ84" s="183">
        <f t="shared" si="59"/>
        <v>0</v>
      </c>
      <c r="AR84" s="165">
        <f t="shared" si="60"/>
        <v>943.27500000000009</v>
      </c>
      <c r="AS84" s="183">
        <f t="shared" si="61"/>
        <v>943.27500000000009</v>
      </c>
      <c r="AT84" s="250">
        <f t="shared" si="62"/>
        <v>2.5000000000000001E-2</v>
      </c>
      <c r="AU84" s="146">
        <f t="shared" si="63"/>
        <v>38674.275000000001</v>
      </c>
      <c r="AV84" s="8">
        <f t="shared" si="64"/>
        <v>38674.275000000001</v>
      </c>
      <c r="AW84" s="8" t="str">
        <f t="shared" si="65"/>
        <v/>
      </c>
      <c r="AX84" s="180">
        <f t="shared" si="66"/>
        <v>1.1226204644412192</v>
      </c>
      <c r="AY84" s="146">
        <f t="shared" si="67"/>
        <v>0</v>
      </c>
      <c r="AZ84" s="146">
        <f t="shared" si="68"/>
        <v>0</v>
      </c>
      <c r="BA84" s="22" t="s">
        <v>159</v>
      </c>
      <c r="BB84" s="149"/>
      <c r="BC84" s="149"/>
      <c r="BD84" s="144"/>
      <c r="BE84" s="146" t="str">
        <f t="shared" si="69"/>
        <v/>
      </c>
      <c r="BF84" s="8" t="str">
        <f t="shared" si="70"/>
        <v/>
      </c>
      <c r="BG84" s="8" t="str">
        <f>IF(LEN(BC84)&gt;0,VLOOKUP(BC84,'Job Codes'!B77:I195,7,FALSE),"")</f>
        <v/>
      </c>
      <c r="BH84" s="192" t="str">
        <f>IF(LEN(BC84)&gt;0,VLOOKUP(BC84,'Job Codes'!B77:I195,8,FALSE),"")</f>
        <v/>
      </c>
      <c r="BI84" s="192" t="str">
        <f>IF(LEN(BC84)&gt;0,VLOOKUP(BC84,'Job Codes'!$B$2:$J$120,9,FALSE),"")</f>
        <v/>
      </c>
      <c r="BJ84" s="146" t="str">
        <f>IF(LEN(BC84)&gt;0,VLOOKUP(BC84,'Job Codes'!$B$2:$I$120,4,FALSE),"")</f>
        <v/>
      </c>
      <c r="BK84" s="146" t="str">
        <f>IF(LEN(BC84)&gt;0,VLOOKUP(BC84,'Job Codes'!$B$2:$I$120,5,FALSE),"")</f>
        <v/>
      </c>
      <c r="BL84" s="146" t="str">
        <f>IF(LEN(BC84)&gt;0,VLOOKUP(BC84,'Job Codes'!$B$2:$I$120,6,FALSE),"")</f>
        <v/>
      </c>
      <c r="BM84" s="168">
        <f t="shared" si="71"/>
        <v>38674.275000000001</v>
      </c>
      <c r="BN84" s="160">
        <f t="shared" si="72"/>
        <v>38674.275000000001</v>
      </c>
      <c r="BO84" s="22" t="s">
        <v>157</v>
      </c>
      <c r="BP84" s="157">
        <f>VLOOKUP(I84,'Job Codes'!$B$2:$I$120,8,FALSE)</f>
        <v>0.05</v>
      </c>
      <c r="BQ84" s="25" t="str">
        <f>IF(O84&gt;Data!$H$33,"Yes","No")</f>
        <v>No</v>
      </c>
      <c r="BR84" s="191">
        <v>0.05</v>
      </c>
      <c r="BS84" s="150">
        <f t="shared" si="73"/>
        <v>1886.5500000000002</v>
      </c>
      <c r="BT84" s="25">
        <f t="shared" si="74"/>
        <v>1886.5500000000002</v>
      </c>
      <c r="BU84" s="161">
        <v>1</v>
      </c>
      <c r="BV84" s="168">
        <f t="shared" si="75"/>
        <v>1886.5500000000002</v>
      </c>
      <c r="BW84" s="160">
        <f t="shared" si="76"/>
        <v>1886.5500000000002</v>
      </c>
      <c r="BX84" s="149"/>
      <c r="BY84" s="32">
        <f t="shared" si="77"/>
        <v>0</v>
      </c>
      <c r="BZ84" s="22" t="s">
        <v>159</v>
      </c>
      <c r="CA84" s="231">
        <f>VLOOKUP(I84,'Job Codes'!$B$2:$J$120,9,FALSE)</f>
        <v>0</v>
      </c>
      <c r="CB84" s="253">
        <f t="shared" si="78"/>
        <v>0</v>
      </c>
      <c r="CC84" s="72"/>
      <c r="CD84" s="25" t="str">
        <f t="shared" si="79"/>
        <v>Meets</v>
      </c>
      <c r="CE84" s="27"/>
      <c r="CF84" s="27"/>
      <c r="CG84" s="27"/>
      <c r="CH84" s="27"/>
      <c r="CI84" s="27"/>
      <c r="CJ84" s="3">
        <v>29271</v>
      </c>
      <c r="CK84" s="3" t="s">
        <v>255</v>
      </c>
      <c r="CL84" s="3">
        <v>4569</v>
      </c>
      <c r="CM84" s="3" t="s">
        <v>161</v>
      </c>
      <c r="CN84" s="3">
        <v>4571</v>
      </c>
      <c r="CO84" s="3" t="s">
        <v>162</v>
      </c>
      <c r="CP84" s="3">
        <v>12345</v>
      </c>
      <c r="CQ84" s="3" t="s">
        <v>163</v>
      </c>
      <c r="CR84" s="246" t="s">
        <v>164</v>
      </c>
      <c r="CS84" s="5" t="s">
        <v>165</v>
      </c>
      <c r="CT84" s="246" t="s">
        <v>256</v>
      </c>
      <c r="CU84" s="247" t="s">
        <v>257</v>
      </c>
      <c r="CV84" s="3" t="str">
        <f t="shared" si="80"/>
        <v>67890;86672</v>
      </c>
      <c r="CW84" s="3" t="s">
        <v>168</v>
      </c>
      <c r="CX84" s="3" t="str">
        <f t="shared" si="81"/>
        <v>AB84;;BB84:BD84;;CC84</v>
      </c>
      <c r="CY84" s="5" t="str">
        <f t="shared" si="82"/>
        <v>Unlock</v>
      </c>
      <c r="CZ84" s="5" t="str">
        <f t="shared" si="83"/>
        <v>Lock</v>
      </c>
      <c r="DA84" s="5" t="str">
        <f t="shared" si="84"/>
        <v>Lock</v>
      </c>
      <c r="DB84" s="5" t="str">
        <f t="shared" si="85"/>
        <v>Lock</v>
      </c>
      <c r="DC84" s="5" t="str">
        <f t="shared" si="86"/>
        <v>Lock</v>
      </c>
      <c r="DD84" s="78">
        <f t="shared" si="87"/>
        <v>2</v>
      </c>
      <c r="DE84" s="2"/>
      <c r="DF84" s="2"/>
      <c r="DG84" s="2"/>
      <c r="DH84" s="2"/>
      <c r="DI84" s="2"/>
      <c r="DJ84" s="2"/>
      <c r="DK84" s="5"/>
      <c r="DL84" s="2"/>
      <c r="DM84" s="2"/>
      <c r="DN84" s="2"/>
      <c r="DO84" s="2"/>
      <c r="DP84" s="2"/>
      <c r="DQ84" s="2"/>
      <c r="DR84" s="2"/>
      <c r="DS84" s="2"/>
      <c r="DT84" s="2"/>
      <c r="DU84" s="2"/>
      <c r="DV84" s="2"/>
      <c r="DW84" s="2"/>
      <c r="DX84" s="2"/>
      <c r="DY84" s="2"/>
      <c r="DZ84" s="2"/>
      <c r="EA84" s="2"/>
      <c r="EB84" s="2"/>
      <c r="EC84" s="2"/>
      <c r="ED84" s="2"/>
      <c r="EE84" s="2"/>
      <c r="EF84" s="1"/>
      <c r="EG84" s="98"/>
      <c r="EH84" s="98"/>
      <c r="EI84" s="1"/>
      <c r="EJ84" s="1"/>
      <c r="EK84" s="98"/>
      <c r="EL84" s="1"/>
    </row>
    <row r="85" spans="1:142">
      <c r="A85" s="32">
        <f t="shared" si="46"/>
        <v>4868</v>
      </c>
      <c r="B85" s="3" t="str">
        <f t="shared" si="47"/>
        <v>sv_statement//Statement//Export Statement&amp;PDFID=Terry Mansour_4868&amp;SO=Y</v>
      </c>
      <c r="C85" s="5" t="str">
        <f t="shared" si="88"/>
        <v>Statement</v>
      </c>
      <c r="D85" s="5" t="str">
        <f t="shared" si="48"/>
        <v>Terry Mansour_4868</v>
      </c>
      <c r="E85" s="5"/>
      <c r="F85" s="5">
        <v>4868</v>
      </c>
      <c r="G85" s="22" t="s">
        <v>335</v>
      </c>
      <c r="H85" s="5" t="s">
        <v>250</v>
      </c>
      <c r="I85" s="5" t="s">
        <v>336</v>
      </c>
      <c r="J85" s="5" t="s">
        <v>220</v>
      </c>
      <c r="K85" s="5" t="s">
        <v>221</v>
      </c>
      <c r="L85" s="31">
        <f t="shared" si="49"/>
        <v>29269</v>
      </c>
      <c r="M85" s="5" t="s">
        <v>287</v>
      </c>
      <c r="N85" s="22" t="s">
        <v>155</v>
      </c>
      <c r="O85" s="100">
        <v>37648</v>
      </c>
      <c r="P85" s="146">
        <f>VLOOKUP(I85,'Job Codes'!$B$2:$I$120,4,FALSE)</f>
        <v>23000</v>
      </c>
      <c r="Q85" s="146">
        <f>VLOOKUP(I85,'Job Codes'!$B$2:$I$120,5,FALSE)</f>
        <v>29900</v>
      </c>
      <c r="R85" s="146">
        <f>VLOOKUP(I85,'Job Codes'!$B$2:$I$120,6,FALSE)</f>
        <v>35880</v>
      </c>
      <c r="S85" s="22" t="s">
        <v>171</v>
      </c>
      <c r="T85" s="146">
        <v>35443</v>
      </c>
      <c r="U85" s="8">
        <f>VLOOKUP(S85,Data!$H$22:$I$25,2,FALSE)*T85</f>
        <v>35443</v>
      </c>
      <c r="V85" s="180">
        <f t="shared" si="50"/>
        <v>1.1853846153846155</v>
      </c>
      <c r="W85" s="180">
        <f t="shared" si="51"/>
        <v>0</v>
      </c>
      <c r="X85" s="22" t="str">
        <f t="shared" si="52"/>
        <v>No</v>
      </c>
      <c r="Y85" s="180">
        <f t="shared" si="53"/>
        <v>0</v>
      </c>
      <c r="Z85" s="146">
        <f t="shared" si="54"/>
        <v>0</v>
      </c>
      <c r="AA85" s="146">
        <f t="shared" si="55"/>
        <v>0</v>
      </c>
      <c r="AB85" s="72"/>
      <c r="AC85" s="146">
        <f>AB85/VLOOKUP(S85,Data!$H$22:$I$25,2,FALSE)</f>
        <v>0</v>
      </c>
      <c r="AD85" s="22" t="s">
        <v>157</v>
      </c>
      <c r="AE85" s="146">
        <f>VLOOKUP(S85,Data!$H$22:$J$25,3,FALSE)*T85</f>
        <v>1063.29</v>
      </c>
      <c r="AF85" s="8">
        <f>VLOOKUP(S85,Data!$H$22:$I$25,2,FALSE)*AE85</f>
        <v>1063.29</v>
      </c>
      <c r="AG85" s="8" t="s">
        <v>178</v>
      </c>
      <c r="AH85" s="23">
        <v>0.02</v>
      </c>
      <c r="AI85" s="72"/>
      <c r="AJ85" s="159">
        <f t="shared" si="56"/>
        <v>0.02</v>
      </c>
      <c r="AK85" s="168">
        <f t="shared" si="89"/>
        <v>708.86</v>
      </c>
      <c r="AL85" s="160">
        <f t="shared" si="90"/>
        <v>708.86</v>
      </c>
      <c r="AM85" s="168">
        <f t="shared" si="57"/>
        <v>36151.86</v>
      </c>
      <c r="AN85" s="160">
        <f t="shared" si="58"/>
        <v>36151.86</v>
      </c>
      <c r="AO85" s="160" t="str">
        <f t="shared" si="91"/>
        <v>Yes by USD 272</v>
      </c>
      <c r="AP85" s="146">
        <f>IF(AQ85=0,0,AQ85/VLOOKUP(S85,Data!$H$22:$I$25,2,FALSE))</f>
        <v>271.86000000000058</v>
      </c>
      <c r="AQ85" s="183">
        <f t="shared" si="59"/>
        <v>271.86000000000058</v>
      </c>
      <c r="AR85" s="165">
        <f t="shared" si="60"/>
        <v>436.99999999999943</v>
      </c>
      <c r="AS85" s="183">
        <f t="shared" si="61"/>
        <v>436.99999999999943</v>
      </c>
      <c r="AT85" s="250">
        <f t="shared" si="62"/>
        <v>1.2329656067488627E-2</v>
      </c>
      <c r="AU85" s="146">
        <f t="shared" si="63"/>
        <v>35880</v>
      </c>
      <c r="AV85" s="8">
        <f t="shared" si="64"/>
        <v>35880</v>
      </c>
      <c r="AW85" s="8" t="str">
        <f t="shared" si="65"/>
        <v>Employee to receive part of proposed increase as a lump sum</v>
      </c>
      <c r="AX85" s="180">
        <f t="shared" si="66"/>
        <v>1.2</v>
      </c>
      <c r="AY85" s="146">
        <f t="shared" si="67"/>
        <v>0</v>
      </c>
      <c r="AZ85" s="146">
        <f t="shared" si="68"/>
        <v>0</v>
      </c>
      <c r="BA85" s="22" t="s">
        <v>159</v>
      </c>
      <c r="BB85" s="149"/>
      <c r="BC85" s="149"/>
      <c r="BD85" s="144"/>
      <c r="BE85" s="146" t="str">
        <f t="shared" si="69"/>
        <v/>
      </c>
      <c r="BF85" s="8" t="str">
        <f t="shared" si="70"/>
        <v/>
      </c>
      <c r="BG85" s="8" t="str">
        <f>IF(LEN(BC85)&gt;0,VLOOKUP(BC85,'Job Codes'!B78:I196,7,FALSE),"")</f>
        <v/>
      </c>
      <c r="BH85" s="192" t="str">
        <f>IF(LEN(BC85)&gt;0,VLOOKUP(BC85,'Job Codes'!B78:I196,8,FALSE),"")</f>
        <v/>
      </c>
      <c r="BI85" s="192" t="str">
        <f>IF(LEN(BC85)&gt;0,VLOOKUP(BC85,'Job Codes'!$B$2:$J$120,9,FALSE),"")</f>
        <v/>
      </c>
      <c r="BJ85" s="146" t="str">
        <f>IF(LEN(BC85)&gt;0,VLOOKUP(BC85,'Job Codes'!$B$2:$I$120,4,FALSE),"")</f>
        <v/>
      </c>
      <c r="BK85" s="146" t="str">
        <f>IF(LEN(BC85)&gt;0,VLOOKUP(BC85,'Job Codes'!$B$2:$I$120,5,FALSE),"")</f>
        <v/>
      </c>
      <c r="BL85" s="146" t="str">
        <f>IF(LEN(BC85)&gt;0,VLOOKUP(BC85,'Job Codes'!$B$2:$I$120,6,FALSE),"")</f>
        <v/>
      </c>
      <c r="BM85" s="168">
        <f t="shared" si="71"/>
        <v>35880</v>
      </c>
      <c r="BN85" s="160">
        <f t="shared" si="72"/>
        <v>35880</v>
      </c>
      <c r="BO85" s="22" t="s">
        <v>159</v>
      </c>
      <c r="BP85" s="157">
        <f>VLOOKUP(I85,'Job Codes'!$B$2:$I$120,8,FALSE)</f>
        <v>0</v>
      </c>
      <c r="BQ85" s="25" t="str">
        <f>IF(O85&gt;Data!$H$33,"Yes","No")</f>
        <v>No</v>
      </c>
      <c r="BR85" s="191">
        <v>0</v>
      </c>
      <c r="BS85" s="150">
        <f t="shared" si="73"/>
        <v>0</v>
      </c>
      <c r="BT85" s="25">
        <f t="shared" si="74"/>
        <v>0</v>
      </c>
      <c r="BU85" s="161">
        <v>1</v>
      </c>
      <c r="BV85" s="168">
        <f t="shared" si="75"/>
        <v>0</v>
      </c>
      <c r="BW85" s="160">
        <f t="shared" si="76"/>
        <v>0</v>
      </c>
      <c r="BX85" s="149"/>
      <c r="BY85" s="32">
        <f t="shared" si="77"/>
        <v>0</v>
      </c>
      <c r="BZ85" s="22" t="s">
        <v>159</v>
      </c>
      <c r="CA85" s="231">
        <f>VLOOKUP(I85,'Job Codes'!$B$2:$J$120,9,FALSE)</f>
        <v>0</v>
      </c>
      <c r="CB85" s="253">
        <f t="shared" si="78"/>
        <v>0</v>
      </c>
      <c r="CC85" s="72"/>
      <c r="CD85" s="25" t="str">
        <f t="shared" si="79"/>
        <v>Meets</v>
      </c>
      <c r="CE85" s="27"/>
      <c r="CF85" s="27"/>
      <c r="CG85" s="27"/>
      <c r="CH85" s="27"/>
      <c r="CI85" s="27"/>
      <c r="CJ85" s="3">
        <v>29271</v>
      </c>
      <c r="CK85" s="3" t="s">
        <v>255</v>
      </c>
      <c r="CL85" s="3">
        <v>4569</v>
      </c>
      <c r="CM85" s="3" t="s">
        <v>161</v>
      </c>
      <c r="CN85" s="3">
        <v>4571</v>
      </c>
      <c r="CO85" s="3" t="s">
        <v>162</v>
      </c>
      <c r="CP85" s="3">
        <v>12345</v>
      </c>
      <c r="CQ85" s="3" t="s">
        <v>163</v>
      </c>
      <c r="CR85" s="246" t="s">
        <v>164</v>
      </c>
      <c r="CS85" s="5" t="s">
        <v>165</v>
      </c>
      <c r="CT85" s="246" t="s">
        <v>256</v>
      </c>
      <c r="CU85" s="247" t="s">
        <v>257</v>
      </c>
      <c r="CV85" s="3" t="str">
        <f t="shared" si="80"/>
        <v>67890;86672</v>
      </c>
      <c r="CW85" s="3" t="s">
        <v>168</v>
      </c>
      <c r="CX85" s="3" t="str">
        <f t="shared" si="81"/>
        <v>AB85;;BB85:BD85;BU85;BX85</v>
      </c>
      <c r="CY85" s="5" t="str">
        <f t="shared" si="82"/>
        <v>Unlock</v>
      </c>
      <c r="CZ85" s="5" t="str">
        <f t="shared" si="83"/>
        <v>Lock</v>
      </c>
      <c r="DA85" s="5" t="str">
        <f t="shared" si="84"/>
        <v>Lock</v>
      </c>
      <c r="DB85" s="5" t="str">
        <f t="shared" si="85"/>
        <v>Lock</v>
      </c>
      <c r="DC85" s="5" t="str">
        <f t="shared" si="86"/>
        <v>Lock</v>
      </c>
      <c r="DD85" s="78">
        <f t="shared" si="87"/>
        <v>2</v>
      </c>
      <c r="DE85" s="2"/>
      <c r="DF85" s="2"/>
      <c r="DG85" s="2"/>
      <c r="DH85" s="2"/>
      <c r="DI85" s="2"/>
      <c r="DJ85" s="2"/>
      <c r="DK85" s="5"/>
      <c r="DL85" s="2"/>
      <c r="DM85" s="2"/>
      <c r="DN85" s="2"/>
      <c r="DO85" s="2"/>
      <c r="DP85" s="2"/>
      <c r="DQ85" s="2"/>
      <c r="DR85" s="2"/>
      <c r="DS85" s="2"/>
      <c r="DT85" s="2"/>
      <c r="DU85" s="2"/>
      <c r="DV85" s="2"/>
      <c r="DW85" s="2"/>
      <c r="DX85" s="2"/>
      <c r="DY85" s="2"/>
      <c r="DZ85" s="2"/>
      <c r="EA85" s="2"/>
      <c r="EB85" s="2"/>
      <c r="EC85" s="2"/>
      <c r="ED85" s="2"/>
      <c r="EE85" s="2"/>
      <c r="EF85" s="1"/>
      <c r="EG85" s="98"/>
      <c r="EH85" s="98"/>
      <c r="EI85" s="1"/>
      <c r="EJ85" s="1"/>
      <c r="EK85" s="98"/>
      <c r="EL85" s="1"/>
    </row>
    <row r="86" spans="1:142">
      <c r="A86" s="32">
        <f t="shared" si="46"/>
        <v>4973</v>
      </c>
      <c r="B86" s="3" t="str">
        <f t="shared" si="47"/>
        <v>sv_statement//Statement//Export Statement&amp;PDFID=Curtis Marble_4973&amp;SO=Y</v>
      </c>
      <c r="C86" s="5" t="str">
        <f t="shared" si="88"/>
        <v>Statement</v>
      </c>
      <c r="D86" s="5" t="str">
        <f t="shared" si="48"/>
        <v>Curtis Marble_4973</v>
      </c>
      <c r="E86" s="5"/>
      <c r="F86" s="5">
        <v>4973</v>
      </c>
      <c r="G86" s="22" t="s">
        <v>337</v>
      </c>
      <c r="H86" s="5" t="s">
        <v>296</v>
      </c>
      <c r="I86" s="5" t="s">
        <v>338</v>
      </c>
      <c r="J86" s="5" t="s">
        <v>220</v>
      </c>
      <c r="K86" s="5" t="s">
        <v>328</v>
      </c>
      <c r="L86" s="31">
        <f t="shared" si="49"/>
        <v>11308</v>
      </c>
      <c r="M86" s="5" t="s">
        <v>154</v>
      </c>
      <c r="N86" s="22" t="s">
        <v>155</v>
      </c>
      <c r="O86" s="100">
        <v>37670</v>
      </c>
      <c r="P86" s="146">
        <f>VLOOKUP(I86,'Job Codes'!$B$2:$I$120,4,FALSE)</f>
        <v>33000</v>
      </c>
      <c r="Q86" s="146">
        <f>VLOOKUP(I86,'Job Codes'!$B$2:$I$120,5,FALSE)</f>
        <v>42900</v>
      </c>
      <c r="R86" s="146">
        <f>VLOOKUP(I86,'Job Codes'!$B$2:$I$120,6,FALSE)</f>
        <v>51480</v>
      </c>
      <c r="S86" s="22" t="s">
        <v>171</v>
      </c>
      <c r="T86" s="146">
        <v>30326</v>
      </c>
      <c r="U86" s="8">
        <f>VLOOKUP(S86,Data!$H$22:$I$25,2,FALSE)*T86</f>
        <v>30326</v>
      </c>
      <c r="V86" s="180">
        <f t="shared" si="50"/>
        <v>0.70689976689976686</v>
      </c>
      <c r="W86" s="180">
        <f t="shared" si="51"/>
        <v>0.41462771219415684</v>
      </c>
      <c r="X86" s="22" t="str">
        <f t="shared" si="52"/>
        <v>Yes</v>
      </c>
      <c r="Y86" s="180">
        <f t="shared" si="53"/>
        <v>0.02</v>
      </c>
      <c r="Z86" s="146">
        <f t="shared" si="54"/>
        <v>606.52</v>
      </c>
      <c r="AA86" s="146">
        <f t="shared" si="55"/>
        <v>606.52</v>
      </c>
      <c r="AB86" s="72"/>
      <c r="AC86" s="146">
        <f>AB86/VLOOKUP(S86,Data!$H$22:$I$25,2,FALSE)</f>
        <v>0</v>
      </c>
      <c r="AD86" s="22" t="s">
        <v>157</v>
      </c>
      <c r="AE86" s="146">
        <f>VLOOKUP(S86,Data!$H$22:$J$25,3,FALSE)*T86</f>
        <v>909.78</v>
      </c>
      <c r="AF86" s="8">
        <f>VLOOKUP(S86,Data!$H$22:$I$25,2,FALSE)*AE86</f>
        <v>909.78</v>
      </c>
      <c r="AG86" s="8" t="s">
        <v>178</v>
      </c>
      <c r="AH86" s="23">
        <v>0.02</v>
      </c>
      <c r="AI86" s="72"/>
      <c r="AJ86" s="159">
        <f t="shared" si="56"/>
        <v>0.02</v>
      </c>
      <c r="AK86" s="168">
        <f t="shared" si="89"/>
        <v>606.52</v>
      </c>
      <c r="AL86" s="160">
        <f t="shared" si="90"/>
        <v>606.52</v>
      </c>
      <c r="AM86" s="168">
        <f t="shared" si="57"/>
        <v>30932.52</v>
      </c>
      <c r="AN86" s="160">
        <f t="shared" si="58"/>
        <v>30932.52</v>
      </c>
      <c r="AO86" s="160" t="str">
        <f t="shared" si="91"/>
        <v>No</v>
      </c>
      <c r="AP86" s="146">
        <f>IF(AQ86=0,0,AQ86/VLOOKUP(S86,Data!$H$22:$I$25,2,FALSE))</f>
        <v>0</v>
      </c>
      <c r="AQ86" s="183">
        <f t="shared" si="59"/>
        <v>0</v>
      </c>
      <c r="AR86" s="165">
        <f t="shared" si="60"/>
        <v>606.52</v>
      </c>
      <c r="AS86" s="183">
        <f t="shared" si="61"/>
        <v>606.52</v>
      </c>
      <c r="AT86" s="250">
        <f t="shared" si="62"/>
        <v>0.02</v>
      </c>
      <c r="AU86" s="146">
        <f t="shared" si="63"/>
        <v>30932.52</v>
      </c>
      <c r="AV86" s="8">
        <f t="shared" si="64"/>
        <v>30932.52</v>
      </c>
      <c r="AW86" s="8" t="str">
        <f t="shared" si="65"/>
        <v/>
      </c>
      <c r="AX86" s="180">
        <f t="shared" si="66"/>
        <v>0.72103776223776228</v>
      </c>
      <c r="AY86" s="146">
        <f t="shared" si="67"/>
        <v>0</v>
      </c>
      <c r="AZ86" s="146">
        <f t="shared" si="68"/>
        <v>0</v>
      </c>
      <c r="BA86" s="22" t="s">
        <v>159</v>
      </c>
      <c r="BB86" s="149"/>
      <c r="BC86" s="149"/>
      <c r="BD86" s="144"/>
      <c r="BE86" s="146" t="str">
        <f t="shared" si="69"/>
        <v/>
      </c>
      <c r="BF86" s="8" t="str">
        <f t="shared" si="70"/>
        <v/>
      </c>
      <c r="BG86" s="8" t="str">
        <f>IF(LEN(BC86)&gt;0,VLOOKUP(BC86,'Job Codes'!B79:I197,7,FALSE),"")</f>
        <v/>
      </c>
      <c r="BH86" s="192" t="str">
        <f>IF(LEN(BC86)&gt;0,VLOOKUP(BC86,'Job Codes'!B79:I197,8,FALSE),"")</f>
        <v/>
      </c>
      <c r="BI86" s="192" t="str">
        <f>IF(LEN(BC86)&gt;0,VLOOKUP(BC86,'Job Codes'!$B$2:$J$120,9,FALSE),"")</f>
        <v/>
      </c>
      <c r="BJ86" s="146" t="str">
        <f>IF(LEN(BC86)&gt;0,VLOOKUP(BC86,'Job Codes'!$B$2:$I$120,4,FALSE),"")</f>
        <v/>
      </c>
      <c r="BK86" s="146" t="str">
        <f>IF(LEN(BC86)&gt;0,VLOOKUP(BC86,'Job Codes'!$B$2:$I$120,5,FALSE),"")</f>
        <v/>
      </c>
      <c r="BL86" s="146" t="str">
        <f>IF(LEN(BC86)&gt;0,VLOOKUP(BC86,'Job Codes'!$B$2:$I$120,6,FALSE),"")</f>
        <v/>
      </c>
      <c r="BM86" s="168">
        <f t="shared" si="71"/>
        <v>30932.52</v>
      </c>
      <c r="BN86" s="160">
        <f t="shared" si="72"/>
        <v>30932.52</v>
      </c>
      <c r="BO86" s="22" t="s">
        <v>157</v>
      </c>
      <c r="BP86" s="157">
        <f>VLOOKUP(I86,'Job Codes'!$B$2:$I$120,8,FALSE)</f>
        <v>0.1</v>
      </c>
      <c r="BQ86" s="25" t="str">
        <f>IF(O86&gt;Data!$H$33,"Yes","No")</f>
        <v>No</v>
      </c>
      <c r="BR86" s="191">
        <v>0.1</v>
      </c>
      <c r="BS86" s="150">
        <f t="shared" si="73"/>
        <v>3032.6000000000004</v>
      </c>
      <c r="BT86" s="25">
        <f t="shared" si="74"/>
        <v>3032.6000000000004</v>
      </c>
      <c r="BU86" s="161">
        <v>1</v>
      </c>
      <c r="BV86" s="168">
        <f t="shared" si="75"/>
        <v>3032.6000000000004</v>
      </c>
      <c r="BW86" s="160">
        <f t="shared" si="76"/>
        <v>3032.6000000000004</v>
      </c>
      <c r="BX86" s="149"/>
      <c r="BY86" s="32">
        <f t="shared" si="77"/>
        <v>0</v>
      </c>
      <c r="BZ86" s="22" t="s">
        <v>157</v>
      </c>
      <c r="CA86" s="231">
        <f>VLOOKUP(I86,'Job Codes'!$B$2:$J$120,9,FALSE)</f>
        <v>0.1</v>
      </c>
      <c r="CB86" s="253">
        <f t="shared" si="78"/>
        <v>3032.6000000000004</v>
      </c>
      <c r="CC86" s="72"/>
      <c r="CD86" s="25" t="str">
        <f t="shared" si="79"/>
        <v>Meets</v>
      </c>
      <c r="CE86" s="27"/>
      <c r="CF86" s="27"/>
      <c r="CG86" s="27"/>
      <c r="CH86" s="27"/>
      <c r="CI86" s="27"/>
      <c r="CJ86" s="3"/>
      <c r="CK86" s="3"/>
      <c r="CL86" s="3">
        <v>4569</v>
      </c>
      <c r="CM86" s="3" t="s">
        <v>161</v>
      </c>
      <c r="CN86" s="3">
        <v>4571</v>
      </c>
      <c r="CO86" s="3" t="s">
        <v>162</v>
      </c>
      <c r="CP86" s="3">
        <v>12345</v>
      </c>
      <c r="CQ86" s="3" t="s">
        <v>163</v>
      </c>
      <c r="CR86" s="246" t="s">
        <v>164</v>
      </c>
      <c r="CS86" s="247" t="s">
        <v>165</v>
      </c>
      <c r="CT86" s="246" t="s">
        <v>166</v>
      </c>
      <c r="CU86" s="247" t="s">
        <v>167</v>
      </c>
      <c r="CV86" s="3" t="str">
        <f t="shared" si="80"/>
        <v>67890;99485</v>
      </c>
      <c r="CW86" s="3" t="s">
        <v>168</v>
      </c>
      <c r="CX86" s="3" t="str">
        <f t="shared" si="81"/>
        <v>;;BB86:BD86;;</v>
      </c>
      <c r="CY86" s="5" t="str">
        <f t="shared" si="82"/>
        <v>Unlock</v>
      </c>
      <c r="CZ86" s="5" t="str">
        <f t="shared" si="83"/>
        <v>Lock</v>
      </c>
      <c r="DA86" s="5" t="str">
        <f t="shared" si="84"/>
        <v>Lock</v>
      </c>
      <c r="DB86" s="5" t="str">
        <f t="shared" si="85"/>
        <v>Lock</v>
      </c>
      <c r="DC86" s="5" t="str">
        <f t="shared" si="86"/>
        <v>Lock</v>
      </c>
      <c r="DD86" s="78">
        <f t="shared" si="87"/>
        <v>3</v>
      </c>
      <c r="DE86" s="2"/>
      <c r="DF86" s="2"/>
      <c r="DG86" s="2"/>
      <c r="DH86" s="2"/>
      <c r="DI86" s="2"/>
      <c r="DJ86" s="2"/>
      <c r="DK86" s="5"/>
      <c r="DL86" s="2"/>
      <c r="DM86" s="2"/>
      <c r="DN86" s="2"/>
      <c r="DO86" s="2"/>
      <c r="DP86" s="2"/>
      <c r="DQ86" s="2"/>
      <c r="DR86" s="2"/>
      <c r="DS86" s="2"/>
      <c r="DT86" s="2"/>
      <c r="DU86" s="2"/>
      <c r="DV86" s="2"/>
      <c r="DW86" s="2"/>
      <c r="DX86" s="2"/>
      <c r="DY86" s="2"/>
      <c r="DZ86" s="2"/>
      <c r="EA86" s="2"/>
      <c r="EB86" s="2"/>
      <c r="EC86" s="2"/>
      <c r="ED86" s="2"/>
      <c r="EE86" s="2"/>
      <c r="EF86" s="1"/>
      <c r="EG86" s="98"/>
      <c r="EH86" s="98"/>
      <c r="EI86" s="1"/>
      <c r="EJ86" s="1"/>
      <c r="EK86" s="98"/>
      <c r="EL86" s="1"/>
    </row>
    <row r="87" spans="1:142">
      <c r="A87" s="32">
        <f t="shared" si="46"/>
        <v>5010</v>
      </c>
      <c r="B87" s="3" t="str">
        <f t="shared" si="47"/>
        <v>sv_statement//Statement//Export Statement&amp;PDFID=Angela Lacey_5010&amp;SO=Y</v>
      </c>
      <c r="C87" s="5" t="str">
        <f t="shared" si="88"/>
        <v>Statement</v>
      </c>
      <c r="D87" s="5" t="str">
        <f t="shared" si="48"/>
        <v>Angela Lacey_5010</v>
      </c>
      <c r="E87" s="5"/>
      <c r="F87" s="5">
        <v>5010</v>
      </c>
      <c r="G87" s="22" t="s">
        <v>339</v>
      </c>
      <c r="H87" s="5" t="s">
        <v>296</v>
      </c>
      <c r="I87" s="5" t="s">
        <v>297</v>
      </c>
      <c r="J87" s="5" t="s">
        <v>220</v>
      </c>
      <c r="K87" s="5" t="s">
        <v>328</v>
      </c>
      <c r="L87" s="31">
        <f t="shared" si="49"/>
        <v>11308</v>
      </c>
      <c r="M87" s="5" t="s">
        <v>154</v>
      </c>
      <c r="N87" s="22" t="s">
        <v>155</v>
      </c>
      <c r="O87" s="100">
        <v>37669</v>
      </c>
      <c r="P87" s="146">
        <f>VLOOKUP(I87,'Job Codes'!$B$2:$I$120,4,FALSE)</f>
        <v>37000</v>
      </c>
      <c r="Q87" s="146">
        <f>VLOOKUP(I87,'Job Codes'!$B$2:$I$120,5,FALSE)</f>
        <v>48100</v>
      </c>
      <c r="R87" s="146">
        <f>VLOOKUP(I87,'Job Codes'!$B$2:$I$120,6,FALSE)</f>
        <v>57720</v>
      </c>
      <c r="S87" s="22" t="s">
        <v>171</v>
      </c>
      <c r="T87" s="146">
        <v>44117</v>
      </c>
      <c r="U87" s="8">
        <f>VLOOKUP(S87,Data!$H$22:$I$25,2,FALSE)*T87</f>
        <v>44117</v>
      </c>
      <c r="V87" s="180">
        <f t="shared" si="50"/>
        <v>0.91719334719334722</v>
      </c>
      <c r="W87" s="180">
        <f t="shared" si="51"/>
        <v>9.0282657478976361E-2</v>
      </c>
      <c r="X87" s="22" t="str">
        <f t="shared" si="52"/>
        <v>Yes</v>
      </c>
      <c r="Y87" s="180">
        <f t="shared" si="53"/>
        <v>0.02</v>
      </c>
      <c r="Z87" s="146">
        <f t="shared" si="54"/>
        <v>882.34</v>
      </c>
      <c r="AA87" s="146">
        <f t="shared" si="55"/>
        <v>882.34</v>
      </c>
      <c r="AB87" s="72"/>
      <c r="AC87" s="146">
        <f>AB87/VLOOKUP(S87,Data!$H$22:$I$25,2,FALSE)</f>
        <v>0</v>
      </c>
      <c r="AD87" s="22" t="s">
        <v>157</v>
      </c>
      <c r="AE87" s="146">
        <f>VLOOKUP(S87,Data!$H$22:$J$25,3,FALSE)*T87</f>
        <v>1323.51</v>
      </c>
      <c r="AF87" s="8">
        <f>VLOOKUP(S87,Data!$H$22:$I$25,2,FALSE)*AE87</f>
        <v>1323.51</v>
      </c>
      <c r="AG87" s="8" t="s">
        <v>178</v>
      </c>
      <c r="AH87" s="23">
        <v>0.01</v>
      </c>
      <c r="AI87" s="72"/>
      <c r="AJ87" s="159">
        <f t="shared" si="56"/>
        <v>0.01</v>
      </c>
      <c r="AK87" s="168">
        <f t="shared" si="89"/>
        <v>441.17</v>
      </c>
      <c r="AL87" s="160">
        <f t="shared" si="90"/>
        <v>441.17</v>
      </c>
      <c r="AM87" s="168">
        <f t="shared" si="57"/>
        <v>44558.17</v>
      </c>
      <c r="AN87" s="160">
        <f t="shared" si="58"/>
        <v>44558.17</v>
      </c>
      <c r="AO87" s="160" t="str">
        <f t="shared" si="91"/>
        <v>No</v>
      </c>
      <c r="AP87" s="146">
        <f>IF(AQ87=0,0,AQ87/VLOOKUP(S87,Data!$H$22:$I$25,2,FALSE))</f>
        <v>0</v>
      </c>
      <c r="AQ87" s="183">
        <f t="shared" si="59"/>
        <v>0</v>
      </c>
      <c r="AR87" s="165">
        <f t="shared" si="60"/>
        <v>441.17</v>
      </c>
      <c r="AS87" s="183">
        <f t="shared" si="61"/>
        <v>441.17</v>
      </c>
      <c r="AT87" s="250">
        <f t="shared" si="62"/>
        <v>0.01</v>
      </c>
      <c r="AU87" s="146">
        <f t="shared" si="63"/>
        <v>44558.17</v>
      </c>
      <c r="AV87" s="8">
        <f t="shared" si="64"/>
        <v>44558.17</v>
      </c>
      <c r="AW87" s="8" t="str">
        <f t="shared" si="65"/>
        <v/>
      </c>
      <c r="AX87" s="180">
        <f t="shared" si="66"/>
        <v>0.92636528066528068</v>
      </c>
      <c r="AY87" s="146">
        <f t="shared" si="67"/>
        <v>0</v>
      </c>
      <c r="AZ87" s="146">
        <f t="shared" si="68"/>
        <v>0</v>
      </c>
      <c r="BA87" s="22" t="s">
        <v>159</v>
      </c>
      <c r="BB87" s="149"/>
      <c r="BC87" s="149"/>
      <c r="BD87" s="144"/>
      <c r="BE87" s="146" t="str">
        <f t="shared" si="69"/>
        <v/>
      </c>
      <c r="BF87" s="8" t="str">
        <f t="shared" si="70"/>
        <v/>
      </c>
      <c r="BG87" s="8" t="str">
        <f>IF(LEN(BC87)&gt;0,VLOOKUP(BC87,'Job Codes'!B80:I198,7,FALSE),"")</f>
        <v/>
      </c>
      <c r="BH87" s="192" t="str">
        <f>IF(LEN(BC87)&gt;0,VLOOKUP(BC87,'Job Codes'!B80:I198,8,FALSE),"")</f>
        <v/>
      </c>
      <c r="BI87" s="192" t="str">
        <f>IF(LEN(BC87)&gt;0,VLOOKUP(BC87,'Job Codes'!$B$2:$J$120,9,FALSE),"")</f>
        <v/>
      </c>
      <c r="BJ87" s="146" t="str">
        <f>IF(LEN(BC87)&gt;0,VLOOKUP(BC87,'Job Codes'!$B$2:$I$120,4,FALSE),"")</f>
        <v/>
      </c>
      <c r="BK87" s="146" t="str">
        <f>IF(LEN(BC87)&gt;0,VLOOKUP(BC87,'Job Codes'!$B$2:$I$120,5,FALSE),"")</f>
        <v/>
      </c>
      <c r="BL87" s="146" t="str">
        <f>IF(LEN(BC87)&gt;0,VLOOKUP(BC87,'Job Codes'!$B$2:$I$120,6,FALSE),"")</f>
        <v/>
      </c>
      <c r="BM87" s="168">
        <f t="shared" si="71"/>
        <v>44558.17</v>
      </c>
      <c r="BN87" s="160">
        <f t="shared" si="72"/>
        <v>44558.17</v>
      </c>
      <c r="BO87" s="22" t="s">
        <v>157</v>
      </c>
      <c r="BP87" s="157">
        <f>VLOOKUP(I87,'Job Codes'!$B$2:$I$120,8,FALSE)</f>
        <v>0.15</v>
      </c>
      <c r="BQ87" s="25" t="str">
        <f>IF(O87&gt;Data!$H$33,"Yes","No")</f>
        <v>No</v>
      </c>
      <c r="BR87" s="191">
        <v>0.15</v>
      </c>
      <c r="BS87" s="150">
        <f t="shared" si="73"/>
        <v>6617.55</v>
      </c>
      <c r="BT87" s="25">
        <f t="shared" si="74"/>
        <v>6617.55</v>
      </c>
      <c r="BU87" s="161">
        <v>1</v>
      </c>
      <c r="BV87" s="168">
        <f t="shared" si="75"/>
        <v>6617.55</v>
      </c>
      <c r="BW87" s="160">
        <f t="shared" si="76"/>
        <v>6617.55</v>
      </c>
      <c r="BX87" s="149"/>
      <c r="BY87" s="32">
        <f t="shared" si="77"/>
        <v>0</v>
      </c>
      <c r="BZ87" s="22" t="s">
        <v>157</v>
      </c>
      <c r="CA87" s="231">
        <f>VLOOKUP(I87,'Job Codes'!$B$2:$J$120,9,FALSE)</f>
        <v>0.15</v>
      </c>
      <c r="CB87" s="253">
        <f t="shared" si="78"/>
        <v>6617.55</v>
      </c>
      <c r="CC87" s="72"/>
      <c r="CD87" s="25" t="str">
        <f t="shared" si="79"/>
        <v>Meets</v>
      </c>
      <c r="CE87" s="27"/>
      <c r="CF87" s="27"/>
      <c r="CG87" s="27"/>
      <c r="CH87" s="27"/>
      <c r="CI87" s="27"/>
      <c r="CJ87" s="3"/>
      <c r="CK87" s="3"/>
      <c r="CL87" s="3">
        <v>4569</v>
      </c>
      <c r="CM87" s="3" t="s">
        <v>161</v>
      </c>
      <c r="CN87" s="3">
        <v>4571</v>
      </c>
      <c r="CO87" s="3" t="s">
        <v>162</v>
      </c>
      <c r="CP87" s="3">
        <v>12345</v>
      </c>
      <c r="CQ87" s="3" t="s">
        <v>163</v>
      </c>
      <c r="CR87" s="246" t="s">
        <v>164</v>
      </c>
      <c r="CS87" s="247" t="s">
        <v>165</v>
      </c>
      <c r="CT87" s="246" t="s">
        <v>166</v>
      </c>
      <c r="CU87" s="247" t="s">
        <v>167</v>
      </c>
      <c r="CV87" s="3" t="str">
        <f t="shared" si="80"/>
        <v>67890;99485</v>
      </c>
      <c r="CW87" s="3" t="s">
        <v>168</v>
      </c>
      <c r="CX87" s="3" t="str">
        <f t="shared" si="81"/>
        <v>;;BB87:BD87;;</v>
      </c>
      <c r="CY87" s="5" t="str">
        <f t="shared" si="82"/>
        <v>Unlock</v>
      </c>
      <c r="CZ87" s="5" t="str">
        <f t="shared" si="83"/>
        <v>Lock</v>
      </c>
      <c r="DA87" s="5" t="str">
        <f t="shared" si="84"/>
        <v>Lock</v>
      </c>
      <c r="DB87" s="5" t="str">
        <f t="shared" si="85"/>
        <v>Lock</v>
      </c>
      <c r="DC87" s="5" t="str">
        <f t="shared" si="86"/>
        <v>Lock</v>
      </c>
      <c r="DD87" s="78">
        <f t="shared" si="87"/>
        <v>3</v>
      </c>
      <c r="DE87" s="2"/>
      <c r="DF87" s="2"/>
      <c r="DG87" s="2"/>
      <c r="DH87" s="2"/>
      <c r="DI87" s="2"/>
      <c r="DJ87" s="2"/>
      <c r="DK87" s="5"/>
      <c r="DL87" s="2"/>
      <c r="DM87" s="2"/>
      <c r="DN87" s="2"/>
      <c r="DO87" s="2"/>
      <c r="DP87" s="2"/>
      <c r="DQ87" s="2"/>
      <c r="DR87" s="2"/>
      <c r="DS87" s="2"/>
      <c r="DT87" s="2"/>
      <c r="DU87" s="2"/>
      <c r="DV87" s="2"/>
      <c r="DW87" s="2"/>
      <c r="DX87" s="2"/>
      <c r="DY87" s="2"/>
      <c r="DZ87" s="2"/>
      <c r="EA87" s="2"/>
      <c r="EB87" s="2"/>
      <c r="EC87" s="2"/>
      <c r="ED87" s="2"/>
      <c r="EE87" s="2"/>
      <c r="EF87" s="1"/>
      <c r="EG87" s="98"/>
      <c r="EH87" s="98"/>
      <c r="EI87" s="1"/>
      <c r="EJ87" s="1"/>
      <c r="EK87" s="98"/>
      <c r="EL87" s="1"/>
    </row>
    <row r="88" spans="1:142">
      <c r="A88" s="32">
        <f t="shared" si="46"/>
        <v>5012</v>
      </c>
      <c r="B88" s="3" t="str">
        <f t="shared" si="47"/>
        <v>sv_statement//Statement//Export Statement&amp;PDFID=Stanley Tolle_5012&amp;SO=Y</v>
      </c>
      <c r="C88" s="5" t="str">
        <f t="shared" si="88"/>
        <v>Statement</v>
      </c>
      <c r="D88" s="5" t="str">
        <f t="shared" si="48"/>
        <v>Stanley Tolle_5012</v>
      </c>
      <c r="E88" s="5"/>
      <c r="F88" s="5">
        <v>5012</v>
      </c>
      <c r="G88" s="22" t="s">
        <v>340</v>
      </c>
      <c r="H88" s="5" t="s">
        <v>341</v>
      </c>
      <c r="I88" s="5" t="s">
        <v>342</v>
      </c>
      <c r="J88" s="5" t="s">
        <v>220</v>
      </c>
      <c r="K88" s="5" t="s">
        <v>328</v>
      </c>
      <c r="L88" s="31">
        <f t="shared" si="49"/>
        <v>11308</v>
      </c>
      <c r="M88" s="5" t="s">
        <v>154</v>
      </c>
      <c r="N88" s="22" t="s">
        <v>155</v>
      </c>
      <c r="O88" s="100">
        <v>37662</v>
      </c>
      <c r="P88" s="146">
        <f>VLOOKUP(I88,'Job Codes'!$B$2:$I$120,4,FALSE)</f>
        <v>27000</v>
      </c>
      <c r="Q88" s="146">
        <f>VLOOKUP(I88,'Job Codes'!$B$2:$I$120,5,FALSE)</f>
        <v>35100</v>
      </c>
      <c r="R88" s="146">
        <f>VLOOKUP(I88,'Job Codes'!$B$2:$I$120,6,FALSE)</f>
        <v>42120</v>
      </c>
      <c r="S88" s="22" t="s">
        <v>171</v>
      </c>
      <c r="T88" s="146">
        <v>32282</v>
      </c>
      <c r="U88" s="8">
        <f>VLOOKUP(S88,Data!$H$22:$I$25,2,FALSE)*T88</f>
        <v>32282</v>
      </c>
      <c r="V88" s="180">
        <f t="shared" si="50"/>
        <v>0.91971509971509968</v>
      </c>
      <c r="W88" s="180">
        <f t="shared" si="51"/>
        <v>8.7293228424509012E-2</v>
      </c>
      <c r="X88" s="22" t="str">
        <f t="shared" si="52"/>
        <v>Yes</v>
      </c>
      <c r="Y88" s="180">
        <f t="shared" si="53"/>
        <v>0.02</v>
      </c>
      <c r="Z88" s="146">
        <f t="shared" si="54"/>
        <v>645.64</v>
      </c>
      <c r="AA88" s="146">
        <f t="shared" si="55"/>
        <v>645.64</v>
      </c>
      <c r="AB88" s="72"/>
      <c r="AC88" s="146">
        <f>AB88/VLOOKUP(S88,Data!$H$22:$I$25,2,FALSE)</f>
        <v>0</v>
      </c>
      <c r="AD88" s="22" t="s">
        <v>157</v>
      </c>
      <c r="AE88" s="146">
        <f>VLOOKUP(S88,Data!$H$22:$J$25,3,FALSE)*T88</f>
        <v>968.45999999999992</v>
      </c>
      <c r="AF88" s="8">
        <f>VLOOKUP(S88,Data!$H$22:$I$25,2,FALSE)*AE88</f>
        <v>968.45999999999992</v>
      </c>
      <c r="AG88" s="8" t="s">
        <v>178</v>
      </c>
      <c r="AH88" s="23">
        <v>2.5000000000000001E-2</v>
      </c>
      <c r="AI88" s="72"/>
      <c r="AJ88" s="159">
        <f t="shared" si="56"/>
        <v>2.5000000000000001E-2</v>
      </c>
      <c r="AK88" s="168">
        <f t="shared" si="89"/>
        <v>807.05000000000007</v>
      </c>
      <c r="AL88" s="160">
        <f t="shared" si="90"/>
        <v>807.05000000000007</v>
      </c>
      <c r="AM88" s="168">
        <f t="shared" si="57"/>
        <v>33089.050000000003</v>
      </c>
      <c r="AN88" s="160">
        <f t="shared" si="58"/>
        <v>33089.050000000003</v>
      </c>
      <c r="AO88" s="160" t="str">
        <f t="shared" si="91"/>
        <v>No</v>
      </c>
      <c r="AP88" s="146">
        <f>IF(AQ88=0,0,AQ88/VLOOKUP(S88,Data!$H$22:$I$25,2,FALSE))</f>
        <v>0</v>
      </c>
      <c r="AQ88" s="183">
        <f t="shared" si="59"/>
        <v>0</v>
      </c>
      <c r="AR88" s="165">
        <f t="shared" si="60"/>
        <v>807.05000000000007</v>
      </c>
      <c r="AS88" s="183">
        <f t="shared" si="61"/>
        <v>807.05000000000007</v>
      </c>
      <c r="AT88" s="250">
        <f t="shared" si="62"/>
        <v>2.5000000000000001E-2</v>
      </c>
      <c r="AU88" s="146">
        <f t="shared" si="63"/>
        <v>33089.050000000003</v>
      </c>
      <c r="AV88" s="8">
        <f t="shared" si="64"/>
        <v>33089.050000000003</v>
      </c>
      <c r="AW88" s="8" t="str">
        <f t="shared" si="65"/>
        <v/>
      </c>
      <c r="AX88" s="180">
        <f t="shared" si="66"/>
        <v>0.94270797720797728</v>
      </c>
      <c r="AY88" s="146">
        <f t="shared" si="67"/>
        <v>0</v>
      </c>
      <c r="AZ88" s="146">
        <f t="shared" si="68"/>
        <v>0</v>
      </c>
      <c r="BA88" s="22" t="s">
        <v>159</v>
      </c>
      <c r="BB88" s="149"/>
      <c r="BC88" s="149"/>
      <c r="BD88" s="144"/>
      <c r="BE88" s="146" t="str">
        <f t="shared" si="69"/>
        <v/>
      </c>
      <c r="BF88" s="8" t="str">
        <f t="shared" si="70"/>
        <v/>
      </c>
      <c r="BG88" s="8" t="str">
        <f>IF(LEN(BC88)&gt;0,VLOOKUP(BC88,'Job Codes'!B81:I199,7,FALSE),"")</f>
        <v/>
      </c>
      <c r="BH88" s="192" t="str">
        <f>IF(LEN(BC88)&gt;0,VLOOKUP(BC88,'Job Codes'!B81:I199,8,FALSE),"")</f>
        <v/>
      </c>
      <c r="BI88" s="192" t="str">
        <f>IF(LEN(BC88)&gt;0,VLOOKUP(BC88,'Job Codes'!$B$2:$J$120,9,FALSE),"")</f>
        <v/>
      </c>
      <c r="BJ88" s="146" t="str">
        <f>IF(LEN(BC88)&gt;0,VLOOKUP(BC88,'Job Codes'!$B$2:$I$120,4,FALSE),"")</f>
        <v/>
      </c>
      <c r="BK88" s="146" t="str">
        <f>IF(LEN(BC88)&gt;0,VLOOKUP(BC88,'Job Codes'!$B$2:$I$120,5,FALSE),"")</f>
        <v/>
      </c>
      <c r="BL88" s="146" t="str">
        <f>IF(LEN(BC88)&gt;0,VLOOKUP(BC88,'Job Codes'!$B$2:$I$120,6,FALSE),"")</f>
        <v/>
      </c>
      <c r="BM88" s="168">
        <f t="shared" si="71"/>
        <v>33089.050000000003</v>
      </c>
      <c r="BN88" s="160">
        <f t="shared" si="72"/>
        <v>33089.050000000003</v>
      </c>
      <c r="BO88" s="22" t="s">
        <v>157</v>
      </c>
      <c r="BP88" s="157">
        <f>VLOOKUP(I88,'Job Codes'!$B$2:$I$120,8,FALSE)</f>
        <v>0.05</v>
      </c>
      <c r="BQ88" s="25" t="str">
        <f>IF(O88&gt;Data!$H$33,"Yes","No")</f>
        <v>No</v>
      </c>
      <c r="BR88" s="191">
        <v>0.05</v>
      </c>
      <c r="BS88" s="150">
        <f t="shared" si="73"/>
        <v>1614.1000000000001</v>
      </c>
      <c r="BT88" s="25">
        <f t="shared" si="74"/>
        <v>1614.1000000000001</v>
      </c>
      <c r="BU88" s="161">
        <v>1</v>
      </c>
      <c r="BV88" s="168">
        <f t="shared" si="75"/>
        <v>1614.1000000000001</v>
      </c>
      <c r="BW88" s="160">
        <f t="shared" si="76"/>
        <v>1614.1000000000001</v>
      </c>
      <c r="BX88" s="149"/>
      <c r="BY88" s="32">
        <f t="shared" si="77"/>
        <v>0</v>
      </c>
      <c r="BZ88" s="22" t="s">
        <v>159</v>
      </c>
      <c r="CA88" s="231">
        <f>VLOOKUP(I88,'Job Codes'!$B$2:$J$120,9,FALSE)</f>
        <v>0</v>
      </c>
      <c r="CB88" s="253">
        <f t="shared" si="78"/>
        <v>0</v>
      </c>
      <c r="CC88" s="72"/>
      <c r="CD88" s="25" t="str">
        <f t="shared" si="79"/>
        <v>Meets</v>
      </c>
      <c r="CE88" s="27"/>
      <c r="CF88" s="27"/>
      <c r="CG88" s="27"/>
      <c r="CH88" s="27"/>
      <c r="CI88" s="27"/>
      <c r="CJ88" s="3"/>
      <c r="CK88" s="3"/>
      <c r="CL88" s="3">
        <v>4569</v>
      </c>
      <c r="CM88" s="3" t="s">
        <v>161</v>
      </c>
      <c r="CN88" s="3">
        <v>4571</v>
      </c>
      <c r="CO88" s="3" t="s">
        <v>162</v>
      </c>
      <c r="CP88" s="3">
        <v>12345</v>
      </c>
      <c r="CQ88" s="3" t="s">
        <v>163</v>
      </c>
      <c r="CR88" s="246" t="s">
        <v>164</v>
      </c>
      <c r="CS88" s="247" t="s">
        <v>165</v>
      </c>
      <c r="CT88" s="246" t="s">
        <v>166</v>
      </c>
      <c r="CU88" s="247" t="s">
        <v>167</v>
      </c>
      <c r="CV88" s="3" t="str">
        <f t="shared" si="80"/>
        <v>67890;99485</v>
      </c>
      <c r="CW88" s="3" t="s">
        <v>168</v>
      </c>
      <c r="CX88" s="3" t="str">
        <f t="shared" si="81"/>
        <v>;;BB88:BD88;;CC88</v>
      </c>
      <c r="CY88" s="5" t="str">
        <f t="shared" si="82"/>
        <v>Unlock</v>
      </c>
      <c r="CZ88" s="5" t="str">
        <f t="shared" si="83"/>
        <v>Lock</v>
      </c>
      <c r="DA88" s="5" t="str">
        <f t="shared" si="84"/>
        <v>Lock</v>
      </c>
      <c r="DB88" s="5" t="str">
        <f t="shared" si="85"/>
        <v>Lock</v>
      </c>
      <c r="DC88" s="5" t="str">
        <f t="shared" si="86"/>
        <v>Lock</v>
      </c>
      <c r="DD88" s="78">
        <f t="shared" si="87"/>
        <v>3</v>
      </c>
      <c r="DE88" s="2"/>
      <c r="DF88" s="2"/>
      <c r="DG88" s="2"/>
      <c r="DH88" s="2"/>
      <c r="DI88" s="2"/>
      <c r="DJ88" s="2"/>
      <c r="DK88" s="5"/>
      <c r="DL88" s="2"/>
      <c r="DM88" s="2"/>
      <c r="DN88" s="2"/>
      <c r="DO88" s="2"/>
      <c r="DP88" s="2"/>
      <c r="DQ88" s="2"/>
      <c r="DR88" s="2"/>
      <c r="DS88" s="2"/>
      <c r="DT88" s="2"/>
      <c r="DU88" s="2"/>
      <c r="DV88" s="2"/>
      <c r="DW88" s="2"/>
      <c r="DX88" s="2"/>
      <c r="DY88" s="2"/>
      <c r="DZ88" s="2"/>
      <c r="EA88" s="2"/>
      <c r="EB88" s="2"/>
      <c r="EC88" s="2"/>
      <c r="ED88" s="2"/>
      <c r="EE88" s="2"/>
      <c r="EF88" s="1"/>
      <c r="EG88" s="98"/>
      <c r="EH88" s="98"/>
      <c r="EI88" s="1"/>
      <c r="EJ88" s="1"/>
      <c r="EK88" s="98"/>
      <c r="EL88" s="1"/>
    </row>
    <row r="89" spans="1:142">
      <c r="A89" s="32">
        <f t="shared" si="46"/>
        <v>5605</v>
      </c>
      <c r="B89" s="3" t="str">
        <f t="shared" si="47"/>
        <v>sv_statement//Statement//Export Statement&amp;PDFID=Chad Mcginley_5605&amp;SO=Y</v>
      </c>
      <c r="C89" s="5" t="str">
        <f t="shared" si="88"/>
        <v>Statement</v>
      </c>
      <c r="D89" s="5" t="str">
        <f t="shared" si="48"/>
        <v>Chad Mcginley_5605</v>
      </c>
      <c r="E89" s="5"/>
      <c r="F89" s="5">
        <v>5605</v>
      </c>
      <c r="G89" s="22" t="s">
        <v>343</v>
      </c>
      <c r="H89" s="5" t="s">
        <v>341</v>
      </c>
      <c r="I89" s="5" t="s">
        <v>344</v>
      </c>
      <c r="J89" s="5" t="s">
        <v>220</v>
      </c>
      <c r="K89" s="5" t="s">
        <v>328</v>
      </c>
      <c r="L89" s="31">
        <f t="shared" si="49"/>
        <v>11308</v>
      </c>
      <c r="M89" s="5" t="s">
        <v>154</v>
      </c>
      <c r="N89" s="22" t="s">
        <v>155</v>
      </c>
      <c r="O89" s="100">
        <v>37697</v>
      </c>
      <c r="P89" s="146">
        <f>VLOOKUP(I89,'Job Codes'!$B$2:$I$120,4,FALSE)</f>
        <v>37000</v>
      </c>
      <c r="Q89" s="146">
        <f>VLOOKUP(I89,'Job Codes'!$B$2:$I$120,5,FALSE)</f>
        <v>48100</v>
      </c>
      <c r="R89" s="146">
        <f>VLOOKUP(I89,'Job Codes'!$B$2:$I$120,6,FALSE)</f>
        <v>57720</v>
      </c>
      <c r="S89" s="22" t="s">
        <v>171</v>
      </c>
      <c r="T89" s="146">
        <v>30160</v>
      </c>
      <c r="U89" s="8">
        <f>VLOOKUP(S89,Data!$H$22:$I$25,2,FALSE)*T89</f>
        <v>30160</v>
      </c>
      <c r="V89" s="180">
        <f t="shared" si="50"/>
        <v>0.62702702702702706</v>
      </c>
      <c r="W89" s="180">
        <f t="shared" si="51"/>
        <v>0.59482758620689657</v>
      </c>
      <c r="X89" s="22" t="str">
        <f t="shared" si="52"/>
        <v>Yes</v>
      </c>
      <c r="Y89" s="180">
        <f t="shared" si="53"/>
        <v>0.02</v>
      </c>
      <c r="Z89" s="146">
        <f t="shared" si="54"/>
        <v>603.20000000000005</v>
      </c>
      <c r="AA89" s="146">
        <f t="shared" si="55"/>
        <v>603.20000000000005</v>
      </c>
      <c r="AB89" s="72"/>
      <c r="AC89" s="146">
        <f>AB89/VLOOKUP(S89,Data!$H$22:$I$25,2,FALSE)</f>
        <v>0</v>
      </c>
      <c r="AD89" s="22" t="s">
        <v>157</v>
      </c>
      <c r="AE89" s="146">
        <f>VLOOKUP(S89,Data!$H$22:$J$25,3,FALSE)*T89</f>
        <v>904.8</v>
      </c>
      <c r="AF89" s="8">
        <f>VLOOKUP(S89,Data!$H$22:$I$25,2,FALSE)*AE89</f>
        <v>904.8</v>
      </c>
      <c r="AG89" s="8" t="s">
        <v>178</v>
      </c>
      <c r="AH89" s="23">
        <v>1.4999999999999999E-2</v>
      </c>
      <c r="AI89" s="72"/>
      <c r="AJ89" s="159">
        <f t="shared" si="56"/>
        <v>1.4999999999999999E-2</v>
      </c>
      <c r="AK89" s="168">
        <f t="shared" si="89"/>
        <v>452.4</v>
      </c>
      <c r="AL89" s="160">
        <f t="shared" si="90"/>
        <v>452.4</v>
      </c>
      <c r="AM89" s="168">
        <f t="shared" si="57"/>
        <v>30612.400000000001</v>
      </c>
      <c r="AN89" s="160">
        <f t="shared" si="58"/>
        <v>30612.400000000001</v>
      </c>
      <c r="AO89" s="160" t="str">
        <f t="shared" si="91"/>
        <v>No</v>
      </c>
      <c r="AP89" s="146">
        <f>IF(AQ89=0,0,AQ89/VLOOKUP(S89,Data!$H$22:$I$25,2,FALSE))</f>
        <v>0</v>
      </c>
      <c r="AQ89" s="183">
        <f t="shared" si="59"/>
        <v>0</v>
      </c>
      <c r="AR89" s="165">
        <f t="shared" si="60"/>
        <v>452.4</v>
      </c>
      <c r="AS89" s="183">
        <f t="shared" si="61"/>
        <v>452.4</v>
      </c>
      <c r="AT89" s="250">
        <f t="shared" si="62"/>
        <v>1.4999999999999999E-2</v>
      </c>
      <c r="AU89" s="146">
        <f t="shared" si="63"/>
        <v>30612.400000000001</v>
      </c>
      <c r="AV89" s="8">
        <f t="shared" si="64"/>
        <v>30612.400000000001</v>
      </c>
      <c r="AW89" s="8" t="str">
        <f t="shared" si="65"/>
        <v/>
      </c>
      <c r="AX89" s="180">
        <f t="shared" si="66"/>
        <v>0.63643243243243242</v>
      </c>
      <c r="AY89" s="146">
        <f t="shared" si="67"/>
        <v>0</v>
      </c>
      <c r="AZ89" s="146">
        <f t="shared" si="68"/>
        <v>0</v>
      </c>
      <c r="BA89" s="22" t="s">
        <v>159</v>
      </c>
      <c r="BB89" s="149"/>
      <c r="BC89" s="149"/>
      <c r="BD89" s="144"/>
      <c r="BE89" s="146" t="str">
        <f t="shared" si="69"/>
        <v/>
      </c>
      <c r="BF89" s="8" t="str">
        <f t="shared" si="70"/>
        <v/>
      </c>
      <c r="BG89" s="8" t="str">
        <f>IF(LEN(BC89)&gt;0,VLOOKUP(BC89,'Job Codes'!B82:I200,7,FALSE),"")</f>
        <v/>
      </c>
      <c r="BH89" s="192" t="str">
        <f>IF(LEN(BC89)&gt;0,VLOOKUP(BC89,'Job Codes'!B82:I200,8,FALSE),"")</f>
        <v/>
      </c>
      <c r="BI89" s="192" t="str">
        <f>IF(LEN(BC89)&gt;0,VLOOKUP(BC89,'Job Codes'!$B$2:$J$120,9,FALSE),"")</f>
        <v/>
      </c>
      <c r="BJ89" s="146" t="str">
        <f>IF(LEN(BC89)&gt;0,VLOOKUP(BC89,'Job Codes'!$B$2:$I$120,4,FALSE),"")</f>
        <v/>
      </c>
      <c r="BK89" s="146" t="str">
        <f>IF(LEN(BC89)&gt;0,VLOOKUP(BC89,'Job Codes'!$B$2:$I$120,5,FALSE),"")</f>
        <v/>
      </c>
      <c r="BL89" s="146" t="str">
        <f>IF(LEN(BC89)&gt;0,VLOOKUP(BC89,'Job Codes'!$B$2:$I$120,6,FALSE),"")</f>
        <v/>
      </c>
      <c r="BM89" s="168">
        <f t="shared" si="71"/>
        <v>30612.400000000001</v>
      </c>
      <c r="BN89" s="160">
        <f t="shared" si="72"/>
        <v>30612.400000000001</v>
      </c>
      <c r="BO89" s="22" t="s">
        <v>157</v>
      </c>
      <c r="BP89" s="157">
        <f>VLOOKUP(I89,'Job Codes'!$B$2:$I$120,8,FALSE)</f>
        <v>0.15</v>
      </c>
      <c r="BQ89" s="25" t="str">
        <f>IF(O89&gt;Data!$H$33,"Yes","No")</f>
        <v>No</v>
      </c>
      <c r="BR89" s="191">
        <v>0.15</v>
      </c>
      <c r="BS89" s="150">
        <f t="shared" si="73"/>
        <v>4524</v>
      </c>
      <c r="BT89" s="25">
        <f t="shared" si="74"/>
        <v>4524</v>
      </c>
      <c r="BU89" s="161">
        <v>1</v>
      </c>
      <c r="BV89" s="168">
        <f t="shared" si="75"/>
        <v>4524</v>
      </c>
      <c r="BW89" s="160">
        <f t="shared" si="76"/>
        <v>4524</v>
      </c>
      <c r="BX89" s="149"/>
      <c r="BY89" s="32">
        <f t="shared" si="77"/>
        <v>0</v>
      </c>
      <c r="BZ89" s="22" t="s">
        <v>157</v>
      </c>
      <c r="CA89" s="231">
        <f>VLOOKUP(I89,'Job Codes'!$B$2:$J$120,9,FALSE)</f>
        <v>0.15</v>
      </c>
      <c r="CB89" s="253">
        <f t="shared" si="78"/>
        <v>4524</v>
      </c>
      <c r="CC89" s="72"/>
      <c r="CD89" s="25" t="str">
        <f t="shared" si="79"/>
        <v>Meets</v>
      </c>
      <c r="CE89" s="27"/>
      <c r="CF89" s="27"/>
      <c r="CG89" s="27"/>
      <c r="CH89" s="27"/>
      <c r="CI89" s="27"/>
      <c r="CJ89" s="3"/>
      <c r="CK89" s="3"/>
      <c r="CL89" s="3">
        <v>4569</v>
      </c>
      <c r="CM89" s="3" t="s">
        <v>161</v>
      </c>
      <c r="CN89" s="3">
        <v>4571</v>
      </c>
      <c r="CO89" s="3" t="s">
        <v>162</v>
      </c>
      <c r="CP89" s="3">
        <v>12345</v>
      </c>
      <c r="CQ89" s="3" t="s">
        <v>163</v>
      </c>
      <c r="CR89" s="246" t="s">
        <v>164</v>
      </c>
      <c r="CS89" s="247" t="s">
        <v>165</v>
      </c>
      <c r="CT89" s="246" t="s">
        <v>166</v>
      </c>
      <c r="CU89" s="247" t="s">
        <v>167</v>
      </c>
      <c r="CV89" s="3" t="str">
        <f t="shared" si="80"/>
        <v>67890;99485</v>
      </c>
      <c r="CW89" s="3" t="s">
        <v>168</v>
      </c>
      <c r="CX89" s="3" t="str">
        <f t="shared" si="81"/>
        <v>;;BB89:BD89;;</v>
      </c>
      <c r="CY89" s="5" t="str">
        <f t="shared" si="82"/>
        <v>Unlock</v>
      </c>
      <c r="CZ89" s="5" t="str">
        <f t="shared" si="83"/>
        <v>Lock</v>
      </c>
      <c r="DA89" s="5" t="str">
        <f t="shared" si="84"/>
        <v>Lock</v>
      </c>
      <c r="DB89" s="5" t="str">
        <f t="shared" si="85"/>
        <v>Lock</v>
      </c>
      <c r="DC89" s="5" t="str">
        <f t="shared" si="86"/>
        <v>Lock</v>
      </c>
      <c r="DD89" s="78">
        <f t="shared" si="87"/>
        <v>3</v>
      </c>
      <c r="DE89" s="2"/>
      <c r="DF89" s="2"/>
      <c r="DG89" s="2"/>
      <c r="DH89" s="2"/>
      <c r="DI89" s="2"/>
      <c r="DJ89" s="2"/>
      <c r="DK89" s="5"/>
      <c r="DL89" s="2"/>
      <c r="DM89" s="2"/>
      <c r="DN89" s="2"/>
      <c r="DO89" s="2"/>
      <c r="DP89" s="2"/>
      <c r="DQ89" s="2"/>
      <c r="DR89" s="2"/>
      <c r="DS89" s="2"/>
      <c r="DT89" s="2"/>
      <c r="DU89" s="2"/>
      <c r="DV89" s="2"/>
      <c r="DW89" s="2"/>
      <c r="DX89" s="2"/>
      <c r="DY89" s="2"/>
      <c r="DZ89" s="2"/>
      <c r="EA89" s="2"/>
      <c r="EB89" s="2"/>
      <c r="EC89" s="2"/>
      <c r="ED89" s="2"/>
      <c r="EE89" s="2"/>
      <c r="EF89" s="1"/>
      <c r="EG89" s="98"/>
      <c r="EH89" s="98"/>
      <c r="EI89" s="1"/>
      <c r="EJ89" s="1"/>
      <c r="EK89" s="98"/>
      <c r="EL89" s="1"/>
    </row>
    <row r="90" spans="1:142">
      <c r="A90" s="32">
        <f t="shared" si="46"/>
        <v>5609</v>
      </c>
      <c r="B90" s="3" t="str">
        <f t="shared" si="47"/>
        <v>sv_statement//Statement//Export Statement&amp;PDFID=Joann Bertram_5609&amp;SO=Y</v>
      </c>
      <c r="C90" s="5" t="str">
        <f t="shared" si="88"/>
        <v>Statement</v>
      </c>
      <c r="D90" s="5" t="str">
        <f t="shared" si="48"/>
        <v>Joann Bertram_5609</v>
      </c>
      <c r="E90" s="5"/>
      <c r="F90" s="5">
        <v>5609</v>
      </c>
      <c r="G90" s="22" t="s">
        <v>345</v>
      </c>
      <c r="H90" s="5" t="s">
        <v>341</v>
      </c>
      <c r="I90" s="5" t="s">
        <v>344</v>
      </c>
      <c r="J90" s="5" t="s">
        <v>220</v>
      </c>
      <c r="K90" s="5" t="s">
        <v>328</v>
      </c>
      <c r="L90" s="31">
        <f t="shared" si="49"/>
        <v>11308</v>
      </c>
      <c r="M90" s="5" t="s">
        <v>154</v>
      </c>
      <c r="N90" s="22" t="s">
        <v>155</v>
      </c>
      <c r="O90" s="100">
        <v>37697</v>
      </c>
      <c r="P90" s="146">
        <f>VLOOKUP(I90,'Job Codes'!$B$2:$I$120,4,FALSE)</f>
        <v>37000</v>
      </c>
      <c r="Q90" s="146">
        <f>VLOOKUP(I90,'Job Codes'!$B$2:$I$120,5,FALSE)</f>
        <v>48100</v>
      </c>
      <c r="R90" s="146">
        <f>VLOOKUP(I90,'Job Codes'!$B$2:$I$120,6,FALSE)</f>
        <v>57720</v>
      </c>
      <c r="S90" s="22" t="s">
        <v>171</v>
      </c>
      <c r="T90" s="146">
        <v>42141</v>
      </c>
      <c r="U90" s="8">
        <f>VLOOKUP(S90,Data!$H$22:$I$25,2,FALSE)*T90</f>
        <v>42141</v>
      </c>
      <c r="V90" s="180">
        <f t="shared" si="50"/>
        <v>0.87611226611226611</v>
      </c>
      <c r="W90" s="180">
        <f t="shared" si="51"/>
        <v>0.14140623146104744</v>
      </c>
      <c r="X90" s="22" t="str">
        <f t="shared" si="52"/>
        <v>Yes</v>
      </c>
      <c r="Y90" s="180">
        <f t="shared" si="53"/>
        <v>0.02</v>
      </c>
      <c r="Z90" s="146">
        <f t="shared" si="54"/>
        <v>842.82</v>
      </c>
      <c r="AA90" s="146">
        <f t="shared" si="55"/>
        <v>842.82</v>
      </c>
      <c r="AB90" s="72"/>
      <c r="AC90" s="146">
        <f>AB90/VLOOKUP(S90,Data!$H$22:$I$25,2,FALSE)</f>
        <v>0</v>
      </c>
      <c r="AD90" s="22" t="s">
        <v>157</v>
      </c>
      <c r="AE90" s="146">
        <f>VLOOKUP(S90,Data!$H$22:$J$25,3,FALSE)*T90</f>
        <v>1264.23</v>
      </c>
      <c r="AF90" s="8">
        <f>VLOOKUP(S90,Data!$H$22:$I$25,2,FALSE)*AE90</f>
        <v>1264.23</v>
      </c>
      <c r="AG90" s="8" t="s">
        <v>178</v>
      </c>
      <c r="AH90" s="23">
        <v>0.02</v>
      </c>
      <c r="AI90" s="72"/>
      <c r="AJ90" s="159">
        <f t="shared" si="56"/>
        <v>0.02</v>
      </c>
      <c r="AK90" s="168">
        <f t="shared" si="89"/>
        <v>842.82</v>
      </c>
      <c r="AL90" s="160">
        <f t="shared" si="90"/>
        <v>842.82</v>
      </c>
      <c r="AM90" s="168">
        <f t="shared" si="57"/>
        <v>42983.82</v>
      </c>
      <c r="AN90" s="160">
        <f t="shared" si="58"/>
        <v>42983.82</v>
      </c>
      <c r="AO90" s="160" t="str">
        <f t="shared" si="91"/>
        <v>No</v>
      </c>
      <c r="AP90" s="146">
        <f>IF(AQ90=0,0,AQ90/VLOOKUP(S90,Data!$H$22:$I$25,2,FALSE))</f>
        <v>0</v>
      </c>
      <c r="AQ90" s="183">
        <f t="shared" si="59"/>
        <v>0</v>
      </c>
      <c r="AR90" s="165">
        <f t="shared" si="60"/>
        <v>842.82</v>
      </c>
      <c r="AS90" s="183">
        <f t="shared" si="61"/>
        <v>842.82</v>
      </c>
      <c r="AT90" s="250">
        <f t="shared" si="62"/>
        <v>0.02</v>
      </c>
      <c r="AU90" s="146">
        <f t="shared" si="63"/>
        <v>42983.82</v>
      </c>
      <c r="AV90" s="8">
        <f t="shared" si="64"/>
        <v>42983.82</v>
      </c>
      <c r="AW90" s="8" t="str">
        <f t="shared" si="65"/>
        <v/>
      </c>
      <c r="AX90" s="180">
        <f t="shared" si="66"/>
        <v>0.89363451143451145</v>
      </c>
      <c r="AY90" s="146">
        <f t="shared" si="67"/>
        <v>0</v>
      </c>
      <c r="AZ90" s="146">
        <f t="shared" si="68"/>
        <v>0</v>
      </c>
      <c r="BA90" s="22" t="s">
        <v>159</v>
      </c>
      <c r="BB90" s="149"/>
      <c r="BC90" s="149"/>
      <c r="BD90" s="144"/>
      <c r="BE90" s="146" t="str">
        <f t="shared" si="69"/>
        <v/>
      </c>
      <c r="BF90" s="8" t="str">
        <f t="shared" si="70"/>
        <v/>
      </c>
      <c r="BG90" s="8" t="str">
        <f>IF(LEN(BC90)&gt;0,VLOOKUP(BC90,'Job Codes'!B83:I201,7,FALSE),"")</f>
        <v/>
      </c>
      <c r="BH90" s="192" t="str">
        <f>IF(LEN(BC90)&gt;0,VLOOKUP(BC90,'Job Codes'!B83:I201,8,FALSE),"")</f>
        <v/>
      </c>
      <c r="BI90" s="192" t="str">
        <f>IF(LEN(BC90)&gt;0,VLOOKUP(BC90,'Job Codes'!$B$2:$J$120,9,FALSE),"")</f>
        <v/>
      </c>
      <c r="BJ90" s="146" t="str">
        <f>IF(LEN(BC90)&gt;0,VLOOKUP(BC90,'Job Codes'!$B$2:$I$120,4,FALSE),"")</f>
        <v/>
      </c>
      <c r="BK90" s="146" t="str">
        <f>IF(LEN(BC90)&gt;0,VLOOKUP(BC90,'Job Codes'!$B$2:$I$120,5,FALSE),"")</f>
        <v/>
      </c>
      <c r="BL90" s="146" t="str">
        <f>IF(LEN(BC90)&gt;0,VLOOKUP(BC90,'Job Codes'!$B$2:$I$120,6,FALSE),"")</f>
        <v/>
      </c>
      <c r="BM90" s="168">
        <f t="shared" si="71"/>
        <v>42983.82</v>
      </c>
      <c r="BN90" s="160">
        <f t="shared" si="72"/>
        <v>42983.82</v>
      </c>
      <c r="BO90" s="22" t="s">
        <v>157</v>
      </c>
      <c r="BP90" s="157">
        <f>VLOOKUP(I90,'Job Codes'!$B$2:$I$120,8,FALSE)</f>
        <v>0.15</v>
      </c>
      <c r="BQ90" s="25" t="str">
        <f>IF(O90&gt;Data!$H$33,"Yes","No")</f>
        <v>No</v>
      </c>
      <c r="BR90" s="191">
        <v>0.15</v>
      </c>
      <c r="BS90" s="150">
        <f t="shared" si="73"/>
        <v>6321.15</v>
      </c>
      <c r="BT90" s="25">
        <f t="shared" si="74"/>
        <v>6321.15</v>
      </c>
      <c r="BU90" s="161">
        <v>1</v>
      </c>
      <c r="BV90" s="168">
        <f t="shared" si="75"/>
        <v>6321.15</v>
      </c>
      <c r="BW90" s="160">
        <f t="shared" si="76"/>
        <v>6321.15</v>
      </c>
      <c r="BX90" s="149"/>
      <c r="BY90" s="32">
        <f t="shared" si="77"/>
        <v>0</v>
      </c>
      <c r="BZ90" s="22" t="s">
        <v>157</v>
      </c>
      <c r="CA90" s="231">
        <f>VLOOKUP(I90,'Job Codes'!$B$2:$J$120,9,FALSE)</f>
        <v>0.15</v>
      </c>
      <c r="CB90" s="253">
        <f t="shared" si="78"/>
        <v>6321.15</v>
      </c>
      <c r="CC90" s="72"/>
      <c r="CD90" s="25" t="str">
        <f t="shared" si="79"/>
        <v>Meets</v>
      </c>
      <c r="CE90" s="27"/>
      <c r="CF90" s="27"/>
      <c r="CG90" s="27"/>
      <c r="CH90" s="27"/>
      <c r="CI90" s="27"/>
      <c r="CJ90" s="3"/>
      <c r="CK90" s="3"/>
      <c r="CL90" s="3">
        <v>4569</v>
      </c>
      <c r="CM90" s="3" t="s">
        <v>161</v>
      </c>
      <c r="CN90" s="3">
        <v>4571</v>
      </c>
      <c r="CO90" s="3" t="s">
        <v>162</v>
      </c>
      <c r="CP90" s="3">
        <v>12345</v>
      </c>
      <c r="CQ90" s="3" t="s">
        <v>163</v>
      </c>
      <c r="CR90" s="246" t="s">
        <v>164</v>
      </c>
      <c r="CS90" s="247" t="s">
        <v>165</v>
      </c>
      <c r="CT90" s="246" t="s">
        <v>166</v>
      </c>
      <c r="CU90" s="247" t="s">
        <v>167</v>
      </c>
      <c r="CV90" s="3" t="str">
        <f t="shared" si="80"/>
        <v>67890;99485</v>
      </c>
      <c r="CW90" s="3" t="s">
        <v>168</v>
      </c>
      <c r="CX90" s="3" t="str">
        <f t="shared" si="81"/>
        <v>;;BB90:BD90;;</v>
      </c>
      <c r="CY90" s="5" t="str">
        <f t="shared" si="82"/>
        <v>Unlock</v>
      </c>
      <c r="CZ90" s="5" t="str">
        <f t="shared" si="83"/>
        <v>Lock</v>
      </c>
      <c r="DA90" s="5" t="str">
        <f t="shared" si="84"/>
        <v>Lock</v>
      </c>
      <c r="DB90" s="5" t="str">
        <f t="shared" si="85"/>
        <v>Lock</v>
      </c>
      <c r="DC90" s="5" t="str">
        <f t="shared" si="86"/>
        <v>Lock</v>
      </c>
      <c r="DD90" s="78">
        <f t="shared" si="87"/>
        <v>3</v>
      </c>
      <c r="DE90" s="2"/>
      <c r="DF90" s="2"/>
      <c r="DG90" s="2"/>
      <c r="DH90" s="2"/>
      <c r="DI90" s="2"/>
      <c r="DJ90" s="2"/>
      <c r="DK90" s="5"/>
      <c r="DL90" s="2"/>
      <c r="DM90" s="2"/>
      <c r="DN90" s="2"/>
      <c r="DO90" s="2"/>
      <c r="DP90" s="2"/>
      <c r="DQ90" s="2"/>
      <c r="DR90" s="2"/>
      <c r="DS90" s="2"/>
      <c r="DT90" s="2"/>
      <c r="DU90" s="2"/>
      <c r="DV90" s="2"/>
      <c r="DW90" s="2"/>
      <c r="DX90" s="2"/>
      <c r="DY90" s="2"/>
      <c r="DZ90" s="2"/>
      <c r="EA90" s="2"/>
      <c r="EB90" s="2"/>
      <c r="EC90" s="2"/>
      <c r="ED90" s="2"/>
      <c r="EE90" s="2"/>
      <c r="EF90" s="1"/>
      <c r="EG90" s="98"/>
      <c r="EH90" s="98"/>
      <c r="EI90" s="1"/>
      <c r="EJ90" s="1"/>
      <c r="EK90" s="98"/>
      <c r="EL90" s="1"/>
    </row>
    <row r="91" spans="1:142">
      <c r="A91" s="32">
        <f t="shared" si="46"/>
        <v>5847</v>
      </c>
      <c r="B91" s="3" t="str">
        <f t="shared" si="47"/>
        <v>sv_statement//Statement//Export Statement&amp;PDFID=Lawrence Heim_5847&amp;SO=Y</v>
      </c>
      <c r="C91" s="5" t="str">
        <f t="shared" si="88"/>
        <v>Statement</v>
      </c>
      <c r="D91" s="5" t="str">
        <f t="shared" si="48"/>
        <v>Lawrence Heim_5847</v>
      </c>
      <c r="E91" s="5"/>
      <c r="F91" s="5">
        <v>5847</v>
      </c>
      <c r="G91" s="22" t="s">
        <v>346</v>
      </c>
      <c r="H91" s="5" t="s">
        <v>296</v>
      </c>
      <c r="I91" s="5" t="s">
        <v>297</v>
      </c>
      <c r="J91" s="5" t="s">
        <v>220</v>
      </c>
      <c r="K91" s="5" t="s">
        <v>328</v>
      </c>
      <c r="L91" s="31">
        <f t="shared" si="49"/>
        <v>11308</v>
      </c>
      <c r="M91" s="5" t="s">
        <v>154</v>
      </c>
      <c r="N91" s="22" t="s">
        <v>155</v>
      </c>
      <c r="O91" s="100">
        <v>37711</v>
      </c>
      <c r="P91" s="146">
        <f>VLOOKUP(I91,'Job Codes'!$B$2:$I$120,4,FALSE)</f>
        <v>37000</v>
      </c>
      <c r="Q91" s="146">
        <f>VLOOKUP(I91,'Job Codes'!$B$2:$I$120,5,FALSE)</f>
        <v>48100</v>
      </c>
      <c r="R91" s="146">
        <f>VLOOKUP(I91,'Job Codes'!$B$2:$I$120,6,FALSE)</f>
        <v>57720</v>
      </c>
      <c r="S91" s="22" t="s">
        <v>171</v>
      </c>
      <c r="T91" s="146">
        <v>29515</v>
      </c>
      <c r="U91" s="8">
        <f>VLOOKUP(S91,Data!$H$22:$I$25,2,FALSE)*T91</f>
        <v>29515</v>
      </c>
      <c r="V91" s="180">
        <f t="shared" si="50"/>
        <v>0.61361746361746361</v>
      </c>
      <c r="W91" s="180">
        <f t="shared" si="51"/>
        <v>0.62967982381839738</v>
      </c>
      <c r="X91" s="22" t="str">
        <f t="shared" si="52"/>
        <v>Yes</v>
      </c>
      <c r="Y91" s="180">
        <f t="shared" si="53"/>
        <v>0.02</v>
      </c>
      <c r="Z91" s="146">
        <f t="shared" si="54"/>
        <v>590.30000000000007</v>
      </c>
      <c r="AA91" s="146">
        <f t="shared" si="55"/>
        <v>590.30000000000007</v>
      </c>
      <c r="AB91" s="72"/>
      <c r="AC91" s="146">
        <f>AB91/VLOOKUP(S91,Data!$H$22:$I$25,2,FALSE)</f>
        <v>0</v>
      </c>
      <c r="AD91" s="22" t="s">
        <v>157</v>
      </c>
      <c r="AE91" s="146">
        <f>VLOOKUP(S91,Data!$H$22:$J$25,3,FALSE)*T91</f>
        <v>885.44999999999993</v>
      </c>
      <c r="AF91" s="8">
        <f>VLOOKUP(S91,Data!$H$22:$I$25,2,FALSE)*AE91</f>
        <v>885.44999999999993</v>
      </c>
      <c r="AG91" s="8" t="s">
        <v>178</v>
      </c>
      <c r="AH91" s="23">
        <v>2.5000000000000001E-2</v>
      </c>
      <c r="AI91" s="72"/>
      <c r="AJ91" s="159">
        <f t="shared" si="56"/>
        <v>2.5000000000000001E-2</v>
      </c>
      <c r="AK91" s="168">
        <f t="shared" si="89"/>
        <v>737.875</v>
      </c>
      <c r="AL91" s="160">
        <f t="shared" si="90"/>
        <v>737.875</v>
      </c>
      <c r="AM91" s="168">
        <f t="shared" si="57"/>
        <v>30252.875</v>
      </c>
      <c r="AN91" s="160">
        <f t="shared" si="58"/>
        <v>30252.875</v>
      </c>
      <c r="AO91" s="160" t="str">
        <f t="shared" si="91"/>
        <v>No</v>
      </c>
      <c r="AP91" s="146">
        <f>IF(AQ91=0,0,AQ91/VLOOKUP(S91,Data!$H$22:$I$25,2,FALSE))</f>
        <v>0</v>
      </c>
      <c r="AQ91" s="183">
        <f t="shared" si="59"/>
        <v>0</v>
      </c>
      <c r="AR91" s="165">
        <f t="shared" si="60"/>
        <v>737.875</v>
      </c>
      <c r="AS91" s="183">
        <f t="shared" si="61"/>
        <v>737.875</v>
      </c>
      <c r="AT91" s="250">
        <f t="shared" si="62"/>
        <v>2.5000000000000001E-2</v>
      </c>
      <c r="AU91" s="146">
        <f t="shared" si="63"/>
        <v>30252.875</v>
      </c>
      <c r="AV91" s="8">
        <f t="shared" si="64"/>
        <v>30252.875</v>
      </c>
      <c r="AW91" s="8" t="str">
        <f t="shared" si="65"/>
        <v/>
      </c>
      <c r="AX91" s="180">
        <f t="shared" si="66"/>
        <v>0.62895790020790021</v>
      </c>
      <c r="AY91" s="146">
        <f t="shared" si="67"/>
        <v>0</v>
      </c>
      <c r="AZ91" s="146">
        <f t="shared" si="68"/>
        <v>0</v>
      </c>
      <c r="BA91" s="22" t="s">
        <v>159</v>
      </c>
      <c r="BB91" s="149"/>
      <c r="BC91" s="149"/>
      <c r="BD91" s="144"/>
      <c r="BE91" s="146" t="str">
        <f t="shared" si="69"/>
        <v/>
      </c>
      <c r="BF91" s="8" t="str">
        <f t="shared" si="70"/>
        <v/>
      </c>
      <c r="BG91" s="8" t="str">
        <f>IF(LEN(BC91)&gt;0,VLOOKUP(BC91,'Job Codes'!B84:I202,7,FALSE),"")</f>
        <v/>
      </c>
      <c r="BH91" s="192" t="str">
        <f>IF(LEN(BC91)&gt;0,VLOOKUP(BC91,'Job Codes'!B84:I202,8,FALSE),"")</f>
        <v/>
      </c>
      <c r="BI91" s="192" t="str">
        <f>IF(LEN(BC91)&gt;0,VLOOKUP(BC91,'Job Codes'!$B$2:$J$120,9,FALSE),"")</f>
        <v/>
      </c>
      <c r="BJ91" s="146" t="str">
        <f>IF(LEN(BC91)&gt;0,VLOOKUP(BC91,'Job Codes'!$B$2:$I$120,4,FALSE),"")</f>
        <v/>
      </c>
      <c r="BK91" s="146" t="str">
        <f>IF(LEN(BC91)&gt;0,VLOOKUP(BC91,'Job Codes'!$B$2:$I$120,5,FALSE),"")</f>
        <v/>
      </c>
      <c r="BL91" s="146" t="str">
        <f>IF(LEN(BC91)&gt;0,VLOOKUP(BC91,'Job Codes'!$B$2:$I$120,6,FALSE),"")</f>
        <v/>
      </c>
      <c r="BM91" s="168">
        <f t="shared" si="71"/>
        <v>30252.875</v>
      </c>
      <c r="BN91" s="160">
        <f t="shared" si="72"/>
        <v>30252.875</v>
      </c>
      <c r="BO91" s="22" t="s">
        <v>157</v>
      </c>
      <c r="BP91" s="157">
        <f>VLOOKUP(I91,'Job Codes'!$B$2:$I$120,8,FALSE)</f>
        <v>0.15</v>
      </c>
      <c r="BQ91" s="25" t="str">
        <f>IF(O91&gt;Data!$H$33,"Yes","No")</f>
        <v>No</v>
      </c>
      <c r="BR91" s="191">
        <v>0.15</v>
      </c>
      <c r="BS91" s="150">
        <f t="shared" si="73"/>
        <v>4427.25</v>
      </c>
      <c r="BT91" s="25">
        <f t="shared" si="74"/>
        <v>4427.25</v>
      </c>
      <c r="BU91" s="161">
        <v>1</v>
      </c>
      <c r="BV91" s="168">
        <f t="shared" si="75"/>
        <v>4427.25</v>
      </c>
      <c r="BW91" s="160">
        <f t="shared" si="76"/>
        <v>4427.25</v>
      </c>
      <c r="BX91" s="149"/>
      <c r="BY91" s="32">
        <f t="shared" si="77"/>
        <v>0</v>
      </c>
      <c r="BZ91" s="22" t="s">
        <v>157</v>
      </c>
      <c r="CA91" s="231">
        <f>VLOOKUP(I91,'Job Codes'!$B$2:$J$120,9,FALSE)</f>
        <v>0.15</v>
      </c>
      <c r="CB91" s="253">
        <f t="shared" si="78"/>
        <v>4427.25</v>
      </c>
      <c r="CC91" s="72"/>
      <c r="CD91" s="25" t="str">
        <f t="shared" si="79"/>
        <v>Meets</v>
      </c>
      <c r="CE91" s="27"/>
      <c r="CF91" s="27"/>
      <c r="CG91" s="27"/>
      <c r="CH91" s="27"/>
      <c r="CI91" s="27"/>
      <c r="CJ91" s="3"/>
      <c r="CK91" s="3"/>
      <c r="CL91" s="3">
        <v>4569</v>
      </c>
      <c r="CM91" s="3" t="s">
        <v>161</v>
      </c>
      <c r="CN91" s="3">
        <v>4571</v>
      </c>
      <c r="CO91" s="3" t="s">
        <v>162</v>
      </c>
      <c r="CP91" s="3">
        <v>12345</v>
      </c>
      <c r="CQ91" s="3" t="s">
        <v>163</v>
      </c>
      <c r="CR91" s="246" t="s">
        <v>164</v>
      </c>
      <c r="CS91" s="247" t="s">
        <v>165</v>
      </c>
      <c r="CT91" s="246" t="s">
        <v>166</v>
      </c>
      <c r="CU91" s="247" t="s">
        <v>167</v>
      </c>
      <c r="CV91" s="3" t="str">
        <f t="shared" si="80"/>
        <v>67890;99485</v>
      </c>
      <c r="CW91" s="3" t="s">
        <v>168</v>
      </c>
      <c r="CX91" s="3" t="str">
        <f t="shared" si="81"/>
        <v>;;BB91:BD91;;</v>
      </c>
      <c r="CY91" s="5" t="str">
        <f t="shared" si="82"/>
        <v>Unlock</v>
      </c>
      <c r="CZ91" s="5" t="str">
        <f t="shared" si="83"/>
        <v>Lock</v>
      </c>
      <c r="DA91" s="5" t="str">
        <f t="shared" si="84"/>
        <v>Lock</v>
      </c>
      <c r="DB91" s="5" t="str">
        <f t="shared" si="85"/>
        <v>Lock</v>
      </c>
      <c r="DC91" s="5" t="str">
        <f t="shared" si="86"/>
        <v>Lock</v>
      </c>
      <c r="DD91" s="78">
        <f t="shared" si="87"/>
        <v>3</v>
      </c>
      <c r="DE91" s="2"/>
      <c r="DF91" s="2"/>
      <c r="DG91" s="2"/>
      <c r="DH91" s="2"/>
      <c r="DI91" s="2"/>
      <c r="DJ91" s="2"/>
      <c r="DK91" s="5"/>
      <c r="DL91" s="2"/>
      <c r="DM91" s="2"/>
      <c r="DN91" s="2"/>
      <c r="DO91" s="2"/>
      <c r="DP91" s="2"/>
      <c r="DQ91" s="2"/>
      <c r="DR91" s="2"/>
      <c r="DS91" s="2"/>
      <c r="DT91" s="2"/>
      <c r="DU91" s="2"/>
      <c r="DV91" s="2"/>
      <c r="DW91" s="2"/>
      <c r="DX91" s="2"/>
      <c r="DY91" s="2"/>
      <c r="DZ91" s="2"/>
      <c r="EA91" s="2"/>
      <c r="EB91" s="2"/>
      <c r="EC91" s="2"/>
      <c r="ED91" s="2"/>
      <c r="EE91" s="2"/>
      <c r="EF91" s="1"/>
      <c r="EG91" s="98"/>
      <c r="EH91" s="98"/>
      <c r="EI91" s="1"/>
      <c r="EJ91" s="1"/>
      <c r="EK91" s="98"/>
      <c r="EL91" s="1"/>
    </row>
    <row r="92" spans="1:142">
      <c r="A92" s="32">
        <f t="shared" si="46"/>
        <v>6049</v>
      </c>
      <c r="B92" s="3" t="str">
        <f t="shared" si="47"/>
        <v>sv_statement//Statement//Export Statement&amp;PDFID=John Montgomery_6049&amp;SO=Y</v>
      </c>
      <c r="C92" s="5" t="str">
        <f t="shared" si="88"/>
        <v>Statement</v>
      </c>
      <c r="D92" s="5" t="str">
        <f t="shared" si="48"/>
        <v>John Montgomery_6049</v>
      </c>
      <c r="E92" s="5"/>
      <c r="F92" s="5">
        <v>6049</v>
      </c>
      <c r="G92" s="22" t="s">
        <v>347</v>
      </c>
      <c r="H92" s="5" t="s">
        <v>341</v>
      </c>
      <c r="I92" s="5" t="s">
        <v>342</v>
      </c>
      <c r="J92" s="5" t="s">
        <v>220</v>
      </c>
      <c r="K92" s="5" t="s">
        <v>328</v>
      </c>
      <c r="L92" s="31">
        <f t="shared" si="49"/>
        <v>11308</v>
      </c>
      <c r="M92" s="5" t="s">
        <v>154</v>
      </c>
      <c r="N92" s="22" t="s">
        <v>155</v>
      </c>
      <c r="O92" s="100">
        <v>37725</v>
      </c>
      <c r="P92" s="146">
        <f>VLOOKUP(I92,'Job Codes'!$B$2:$I$120,4,FALSE)</f>
        <v>27000</v>
      </c>
      <c r="Q92" s="146">
        <f>VLOOKUP(I92,'Job Codes'!$B$2:$I$120,5,FALSE)</f>
        <v>35100</v>
      </c>
      <c r="R92" s="146">
        <f>VLOOKUP(I92,'Job Codes'!$B$2:$I$120,6,FALSE)</f>
        <v>42120</v>
      </c>
      <c r="S92" s="22" t="s">
        <v>171</v>
      </c>
      <c r="T92" s="146">
        <v>31616</v>
      </c>
      <c r="U92" s="8">
        <f>VLOOKUP(S92,Data!$H$22:$I$25,2,FALSE)*T92</f>
        <v>31616</v>
      </c>
      <c r="V92" s="180">
        <f t="shared" si="50"/>
        <v>0.90074074074074073</v>
      </c>
      <c r="W92" s="180">
        <f t="shared" si="51"/>
        <v>0.11019736842105263</v>
      </c>
      <c r="X92" s="22" t="str">
        <f t="shared" si="52"/>
        <v>Yes</v>
      </c>
      <c r="Y92" s="180">
        <f t="shared" si="53"/>
        <v>0.02</v>
      </c>
      <c r="Z92" s="146">
        <f t="shared" si="54"/>
        <v>632.32000000000005</v>
      </c>
      <c r="AA92" s="146">
        <f t="shared" si="55"/>
        <v>632.32000000000005</v>
      </c>
      <c r="AB92" s="72"/>
      <c r="AC92" s="146">
        <f>AB92/VLOOKUP(S92,Data!$H$22:$I$25,2,FALSE)</f>
        <v>0</v>
      </c>
      <c r="AD92" s="22" t="s">
        <v>157</v>
      </c>
      <c r="AE92" s="146">
        <f>VLOOKUP(S92,Data!$H$22:$J$25,3,FALSE)*T92</f>
        <v>948.48</v>
      </c>
      <c r="AF92" s="8">
        <f>VLOOKUP(S92,Data!$H$22:$I$25,2,FALSE)*AE92</f>
        <v>948.48</v>
      </c>
      <c r="AG92" s="8" t="s">
        <v>158</v>
      </c>
      <c r="AH92" s="23">
        <v>0.04</v>
      </c>
      <c r="AI92" s="72"/>
      <c r="AJ92" s="159">
        <f t="shared" si="56"/>
        <v>0.04</v>
      </c>
      <c r="AK92" s="168">
        <f t="shared" si="89"/>
        <v>1264.6400000000001</v>
      </c>
      <c r="AL92" s="160">
        <f t="shared" si="90"/>
        <v>1264.6400000000001</v>
      </c>
      <c r="AM92" s="168">
        <f t="shared" si="57"/>
        <v>32880.639999999999</v>
      </c>
      <c r="AN92" s="160">
        <f t="shared" si="58"/>
        <v>32880.639999999999</v>
      </c>
      <c r="AO92" s="160" t="str">
        <f t="shared" si="91"/>
        <v>No</v>
      </c>
      <c r="AP92" s="146">
        <f>IF(AQ92=0,0,AQ92/VLOOKUP(S92,Data!$H$22:$I$25,2,FALSE))</f>
        <v>0</v>
      </c>
      <c r="AQ92" s="183">
        <f t="shared" si="59"/>
        <v>0</v>
      </c>
      <c r="AR92" s="165">
        <f t="shared" si="60"/>
        <v>1264.6400000000001</v>
      </c>
      <c r="AS92" s="183">
        <f t="shared" si="61"/>
        <v>1264.6400000000001</v>
      </c>
      <c r="AT92" s="250">
        <f t="shared" si="62"/>
        <v>0.04</v>
      </c>
      <c r="AU92" s="146">
        <f t="shared" si="63"/>
        <v>32880.639999999999</v>
      </c>
      <c r="AV92" s="8">
        <f t="shared" si="64"/>
        <v>32880.639999999999</v>
      </c>
      <c r="AW92" s="8" t="str">
        <f t="shared" si="65"/>
        <v/>
      </c>
      <c r="AX92" s="180">
        <f t="shared" si="66"/>
        <v>0.93677037037037036</v>
      </c>
      <c r="AY92" s="146">
        <f t="shared" si="67"/>
        <v>0</v>
      </c>
      <c r="AZ92" s="146">
        <f t="shared" si="68"/>
        <v>0</v>
      </c>
      <c r="BA92" s="22" t="s">
        <v>159</v>
      </c>
      <c r="BB92" s="149"/>
      <c r="BC92" s="149"/>
      <c r="BD92" s="144"/>
      <c r="BE92" s="146" t="str">
        <f t="shared" si="69"/>
        <v/>
      </c>
      <c r="BF92" s="8" t="str">
        <f t="shared" si="70"/>
        <v/>
      </c>
      <c r="BG92" s="8" t="str">
        <f>IF(LEN(BC92)&gt;0,VLOOKUP(BC92,'Job Codes'!B85:I203,7,FALSE),"")</f>
        <v/>
      </c>
      <c r="BH92" s="192" t="str">
        <f>IF(LEN(BC92)&gt;0,VLOOKUP(BC92,'Job Codes'!B85:I203,8,FALSE),"")</f>
        <v/>
      </c>
      <c r="BI92" s="192" t="str">
        <f>IF(LEN(BC92)&gt;0,VLOOKUP(BC92,'Job Codes'!$B$2:$J$120,9,FALSE),"")</f>
        <v/>
      </c>
      <c r="BJ92" s="146" t="str">
        <f>IF(LEN(BC92)&gt;0,VLOOKUP(BC92,'Job Codes'!$B$2:$I$120,4,FALSE),"")</f>
        <v/>
      </c>
      <c r="BK92" s="146" t="str">
        <f>IF(LEN(BC92)&gt;0,VLOOKUP(BC92,'Job Codes'!$B$2:$I$120,5,FALSE),"")</f>
        <v/>
      </c>
      <c r="BL92" s="146" t="str">
        <f>IF(LEN(BC92)&gt;0,VLOOKUP(BC92,'Job Codes'!$B$2:$I$120,6,FALSE),"")</f>
        <v/>
      </c>
      <c r="BM92" s="168">
        <f t="shared" si="71"/>
        <v>32880.639999999999</v>
      </c>
      <c r="BN92" s="160">
        <f t="shared" si="72"/>
        <v>32880.639999999999</v>
      </c>
      <c r="BO92" s="22" t="s">
        <v>157</v>
      </c>
      <c r="BP92" s="157">
        <f>VLOOKUP(I92,'Job Codes'!$B$2:$I$120,8,FALSE)</f>
        <v>0.05</v>
      </c>
      <c r="BQ92" s="25" t="str">
        <f>IF(O92&gt;Data!$H$33,"Yes","No")</f>
        <v>No</v>
      </c>
      <c r="BR92" s="191">
        <v>0.05</v>
      </c>
      <c r="BS92" s="150">
        <f t="shared" si="73"/>
        <v>1580.8000000000002</v>
      </c>
      <c r="BT92" s="25">
        <f t="shared" si="74"/>
        <v>1580.8000000000002</v>
      </c>
      <c r="BU92" s="161">
        <v>1</v>
      </c>
      <c r="BV92" s="168">
        <f t="shared" si="75"/>
        <v>1580.8000000000002</v>
      </c>
      <c r="BW92" s="160">
        <f t="shared" si="76"/>
        <v>1580.8000000000002</v>
      </c>
      <c r="BX92" s="149"/>
      <c r="BY92" s="32">
        <f t="shared" si="77"/>
        <v>0</v>
      </c>
      <c r="BZ92" s="22" t="s">
        <v>159</v>
      </c>
      <c r="CA92" s="231">
        <f>VLOOKUP(I92,'Job Codes'!$B$2:$J$120,9,FALSE)</f>
        <v>0</v>
      </c>
      <c r="CB92" s="253">
        <f t="shared" si="78"/>
        <v>0</v>
      </c>
      <c r="CC92" s="72"/>
      <c r="CD92" s="25" t="str">
        <f t="shared" si="79"/>
        <v>Exceeds</v>
      </c>
      <c r="CE92" s="27"/>
      <c r="CF92" s="27"/>
      <c r="CG92" s="27"/>
      <c r="CH92" s="27"/>
      <c r="CI92" s="27"/>
      <c r="CJ92" s="3"/>
      <c r="CK92" s="3"/>
      <c r="CL92" s="3">
        <v>4569</v>
      </c>
      <c r="CM92" s="3" t="s">
        <v>161</v>
      </c>
      <c r="CN92" s="3">
        <v>4571</v>
      </c>
      <c r="CO92" s="3" t="s">
        <v>162</v>
      </c>
      <c r="CP92" s="3">
        <v>12345</v>
      </c>
      <c r="CQ92" s="3" t="s">
        <v>163</v>
      </c>
      <c r="CR92" s="246" t="s">
        <v>164</v>
      </c>
      <c r="CS92" s="247" t="s">
        <v>165</v>
      </c>
      <c r="CT92" s="246" t="s">
        <v>166</v>
      </c>
      <c r="CU92" s="247" t="s">
        <v>167</v>
      </c>
      <c r="CV92" s="3" t="str">
        <f t="shared" si="80"/>
        <v>67890;99485</v>
      </c>
      <c r="CW92" s="3" t="s">
        <v>168</v>
      </c>
      <c r="CX92" s="3" t="str">
        <f t="shared" si="81"/>
        <v>;;BB92:BD92;;CC92</v>
      </c>
      <c r="CY92" s="5" t="str">
        <f t="shared" si="82"/>
        <v>Unlock</v>
      </c>
      <c r="CZ92" s="5" t="str">
        <f t="shared" si="83"/>
        <v>Lock</v>
      </c>
      <c r="DA92" s="5" t="str">
        <f t="shared" si="84"/>
        <v>Lock</v>
      </c>
      <c r="DB92" s="5" t="str">
        <f t="shared" si="85"/>
        <v>Lock</v>
      </c>
      <c r="DC92" s="5" t="str">
        <f t="shared" si="86"/>
        <v>Lock</v>
      </c>
      <c r="DD92" s="78">
        <f t="shared" si="87"/>
        <v>3</v>
      </c>
      <c r="DE92" s="2"/>
      <c r="DF92" s="2"/>
      <c r="DG92" s="2"/>
      <c r="DH92" s="2"/>
      <c r="DI92" s="2"/>
      <c r="DJ92" s="2"/>
      <c r="DK92" s="5"/>
      <c r="DL92" s="2"/>
      <c r="DM92" s="2"/>
      <c r="DN92" s="2"/>
      <c r="DO92" s="2"/>
      <c r="DP92" s="2"/>
      <c r="DQ92" s="2"/>
      <c r="DR92" s="2"/>
      <c r="DS92" s="2"/>
      <c r="DT92" s="2"/>
      <c r="DU92" s="2"/>
      <c r="DV92" s="2"/>
      <c r="DW92" s="2"/>
      <c r="DX92" s="2"/>
      <c r="DY92" s="2"/>
      <c r="DZ92" s="2"/>
      <c r="EA92" s="2"/>
      <c r="EB92" s="2"/>
      <c r="EC92" s="2"/>
      <c r="ED92" s="2"/>
      <c r="EE92" s="2"/>
      <c r="EF92" s="1"/>
      <c r="EG92" s="98"/>
      <c r="EH92" s="98"/>
      <c r="EI92" s="1"/>
      <c r="EJ92" s="1"/>
      <c r="EK92" s="98"/>
      <c r="EL92" s="1"/>
    </row>
    <row r="93" spans="1:142">
      <c r="A93" s="32">
        <f t="shared" si="46"/>
        <v>6353</v>
      </c>
      <c r="B93" s="3" t="str">
        <f t="shared" si="47"/>
        <v>sv_statement//Statement//Export Statement&amp;PDFID=Roger Phinney_6353&amp;SO=Y</v>
      </c>
      <c r="C93" s="5" t="str">
        <f t="shared" si="88"/>
        <v>Statement</v>
      </c>
      <c r="D93" s="5" t="str">
        <f t="shared" si="48"/>
        <v>Roger Phinney_6353</v>
      </c>
      <c r="E93" s="5"/>
      <c r="F93" s="5">
        <v>6353</v>
      </c>
      <c r="G93" s="22" t="s">
        <v>348</v>
      </c>
      <c r="H93" s="5" t="s">
        <v>341</v>
      </c>
      <c r="I93" s="5" t="s">
        <v>342</v>
      </c>
      <c r="J93" s="5" t="s">
        <v>220</v>
      </c>
      <c r="K93" s="5" t="s">
        <v>328</v>
      </c>
      <c r="L93" s="31">
        <f t="shared" si="49"/>
        <v>11308</v>
      </c>
      <c r="M93" s="5" t="s">
        <v>154</v>
      </c>
      <c r="N93" s="22" t="s">
        <v>155</v>
      </c>
      <c r="O93" s="100">
        <v>37760</v>
      </c>
      <c r="P93" s="146">
        <f>VLOOKUP(I93,'Job Codes'!$B$2:$I$120,4,FALSE)</f>
        <v>27000</v>
      </c>
      <c r="Q93" s="146">
        <f>VLOOKUP(I93,'Job Codes'!$B$2:$I$120,5,FALSE)</f>
        <v>35100</v>
      </c>
      <c r="R93" s="146">
        <f>VLOOKUP(I93,'Job Codes'!$B$2:$I$120,6,FALSE)</f>
        <v>42120</v>
      </c>
      <c r="S93" s="22" t="s">
        <v>171</v>
      </c>
      <c r="T93" s="146">
        <v>25000</v>
      </c>
      <c r="U93" s="8">
        <f>VLOOKUP(S93,Data!$H$22:$I$25,2,FALSE)*T93</f>
        <v>25000</v>
      </c>
      <c r="V93" s="180">
        <f t="shared" si="50"/>
        <v>0.71225071225071224</v>
      </c>
      <c r="W93" s="180">
        <f t="shared" si="51"/>
        <v>0.40400000000000003</v>
      </c>
      <c r="X93" s="22" t="str">
        <f t="shared" si="52"/>
        <v>Yes</v>
      </c>
      <c r="Y93" s="180">
        <f t="shared" si="53"/>
        <v>0.02</v>
      </c>
      <c r="Z93" s="146">
        <f t="shared" si="54"/>
        <v>500</v>
      </c>
      <c r="AA93" s="146">
        <f t="shared" si="55"/>
        <v>500</v>
      </c>
      <c r="AB93" s="72"/>
      <c r="AC93" s="146">
        <f>AB93/VLOOKUP(S93,Data!$H$22:$I$25,2,FALSE)</f>
        <v>0</v>
      </c>
      <c r="AD93" s="22" t="s">
        <v>157</v>
      </c>
      <c r="AE93" s="146">
        <f>VLOOKUP(S93,Data!$H$22:$J$25,3,FALSE)*T93</f>
        <v>750</v>
      </c>
      <c r="AF93" s="8">
        <f>VLOOKUP(S93,Data!$H$22:$I$25,2,FALSE)*AE93</f>
        <v>750</v>
      </c>
      <c r="AG93" s="8" t="s">
        <v>158</v>
      </c>
      <c r="AH93" s="23">
        <v>0.03</v>
      </c>
      <c r="AI93" s="72"/>
      <c r="AJ93" s="159">
        <f t="shared" si="56"/>
        <v>0.03</v>
      </c>
      <c r="AK93" s="168">
        <f t="shared" si="89"/>
        <v>750</v>
      </c>
      <c r="AL93" s="160">
        <f t="shared" si="90"/>
        <v>750</v>
      </c>
      <c r="AM93" s="168">
        <f t="shared" si="57"/>
        <v>25750</v>
      </c>
      <c r="AN93" s="160">
        <f t="shared" si="58"/>
        <v>25750</v>
      </c>
      <c r="AO93" s="160" t="str">
        <f t="shared" si="91"/>
        <v>No</v>
      </c>
      <c r="AP93" s="146">
        <f>IF(AQ93=0,0,AQ93/VLOOKUP(S93,Data!$H$22:$I$25,2,FALSE))</f>
        <v>0</v>
      </c>
      <c r="AQ93" s="183">
        <f t="shared" si="59"/>
        <v>0</v>
      </c>
      <c r="AR93" s="165">
        <f t="shared" si="60"/>
        <v>750</v>
      </c>
      <c r="AS93" s="183">
        <f t="shared" si="61"/>
        <v>750</v>
      </c>
      <c r="AT93" s="250">
        <f t="shared" si="62"/>
        <v>0.03</v>
      </c>
      <c r="AU93" s="146">
        <f t="shared" si="63"/>
        <v>25750</v>
      </c>
      <c r="AV93" s="8">
        <f t="shared" si="64"/>
        <v>25750</v>
      </c>
      <c r="AW93" s="8" t="str">
        <f t="shared" si="65"/>
        <v/>
      </c>
      <c r="AX93" s="180">
        <f t="shared" si="66"/>
        <v>0.73361823361823364</v>
      </c>
      <c r="AY93" s="146">
        <f t="shared" si="67"/>
        <v>0</v>
      </c>
      <c r="AZ93" s="146">
        <f t="shared" si="68"/>
        <v>0</v>
      </c>
      <c r="BA93" s="22" t="s">
        <v>159</v>
      </c>
      <c r="BB93" s="149"/>
      <c r="BC93" s="149"/>
      <c r="BD93" s="144"/>
      <c r="BE93" s="146" t="str">
        <f t="shared" si="69"/>
        <v/>
      </c>
      <c r="BF93" s="8" t="str">
        <f t="shared" si="70"/>
        <v/>
      </c>
      <c r="BG93" s="8" t="str">
        <f>IF(LEN(BC93)&gt;0,VLOOKUP(BC93,'Job Codes'!B86:I204,7,FALSE),"")</f>
        <v/>
      </c>
      <c r="BH93" s="192" t="str">
        <f>IF(LEN(BC93)&gt;0,VLOOKUP(BC93,'Job Codes'!B86:I204,8,FALSE),"")</f>
        <v/>
      </c>
      <c r="BI93" s="192" t="str">
        <f>IF(LEN(BC93)&gt;0,VLOOKUP(BC93,'Job Codes'!$B$2:$J$120,9,FALSE),"")</f>
        <v/>
      </c>
      <c r="BJ93" s="146" t="str">
        <f>IF(LEN(BC93)&gt;0,VLOOKUP(BC93,'Job Codes'!$B$2:$I$120,4,FALSE),"")</f>
        <v/>
      </c>
      <c r="BK93" s="146" t="str">
        <f>IF(LEN(BC93)&gt;0,VLOOKUP(BC93,'Job Codes'!$B$2:$I$120,5,FALSE),"")</f>
        <v/>
      </c>
      <c r="BL93" s="146" t="str">
        <f>IF(LEN(BC93)&gt;0,VLOOKUP(BC93,'Job Codes'!$B$2:$I$120,6,FALSE),"")</f>
        <v/>
      </c>
      <c r="BM93" s="168">
        <f t="shared" si="71"/>
        <v>25750</v>
      </c>
      <c r="BN93" s="160">
        <f t="shared" si="72"/>
        <v>25750</v>
      </c>
      <c r="BO93" s="22" t="s">
        <v>157</v>
      </c>
      <c r="BP93" s="157">
        <f>VLOOKUP(I93,'Job Codes'!$B$2:$I$120,8,FALSE)</f>
        <v>0.05</v>
      </c>
      <c r="BQ93" s="25" t="str">
        <f>IF(O93&gt;Data!$H$33,"Yes","No")</f>
        <v>No</v>
      </c>
      <c r="BR93" s="191">
        <v>0.05</v>
      </c>
      <c r="BS93" s="150">
        <f t="shared" si="73"/>
        <v>1250</v>
      </c>
      <c r="BT93" s="25">
        <f t="shared" si="74"/>
        <v>1250</v>
      </c>
      <c r="BU93" s="161">
        <v>1</v>
      </c>
      <c r="BV93" s="168">
        <f t="shared" si="75"/>
        <v>1250</v>
      </c>
      <c r="BW93" s="160">
        <f t="shared" si="76"/>
        <v>1250</v>
      </c>
      <c r="BX93" s="149"/>
      <c r="BY93" s="32">
        <f t="shared" si="77"/>
        <v>0</v>
      </c>
      <c r="BZ93" s="22" t="s">
        <v>159</v>
      </c>
      <c r="CA93" s="231">
        <f>VLOOKUP(I93,'Job Codes'!$B$2:$J$120,9,FALSE)</f>
        <v>0</v>
      </c>
      <c r="CB93" s="253">
        <f t="shared" si="78"/>
        <v>0</v>
      </c>
      <c r="CC93" s="72"/>
      <c r="CD93" s="25" t="str">
        <f t="shared" si="79"/>
        <v>Exceeds</v>
      </c>
      <c r="CE93" s="27"/>
      <c r="CF93" s="27"/>
      <c r="CG93" s="27"/>
      <c r="CH93" s="27"/>
      <c r="CI93" s="27"/>
      <c r="CJ93" s="3"/>
      <c r="CK93" s="3"/>
      <c r="CL93" s="3">
        <v>4569</v>
      </c>
      <c r="CM93" s="3" t="s">
        <v>161</v>
      </c>
      <c r="CN93" s="3">
        <v>4571</v>
      </c>
      <c r="CO93" s="3" t="s">
        <v>162</v>
      </c>
      <c r="CP93" s="3">
        <v>12345</v>
      </c>
      <c r="CQ93" s="3" t="s">
        <v>163</v>
      </c>
      <c r="CR93" s="246" t="s">
        <v>164</v>
      </c>
      <c r="CS93" s="247" t="s">
        <v>165</v>
      </c>
      <c r="CT93" s="246" t="s">
        <v>166</v>
      </c>
      <c r="CU93" s="247" t="s">
        <v>167</v>
      </c>
      <c r="CV93" s="3" t="str">
        <f t="shared" si="80"/>
        <v>67890;99485</v>
      </c>
      <c r="CW93" s="3" t="s">
        <v>168</v>
      </c>
      <c r="CX93" s="3" t="str">
        <f t="shared" si="81"/>
        <v>;;BB93:BD93;;CC93</v>
      </c>
      <c r="CY93" s="5" t="str">
        <f t="shared" si="82"/>
        <v>Unlock</v>
      </c>
      <c r="CZ93" s="5" t="str">
        <f t="shared" si="83"/>
        <v>Lock</v>
      </c>
      <c r="DA93" s="5" t="str">
        <f t="shared" si="84"/>
        <v>Lock</v>
      </c>
      <c r="DB93" s="5" t="str">
        <f t="shared" si="85"/>
        <v>Lock</v>
      </c>
      <c r="DC93" s="5" t="str">
        <f t="shared" si="86"/>
        <v>Lock</v>
      </c>
      <c r="DD93" s="78">
        <f t="shared" si="87"/>
        <v>3</v>
      </c>
      <c r="DE93" s="2"/>
      <c r="DF93" s="2"/>
      <c r="DG93" s="2"/>
      <c r="DH93" s="2"/>
      <c r="DI93" s="2"/>
      <c r="DJ93" s="2"/>
      <c r="DK93" s="5"/>
      <c r="DL93" s="2"/>
      <c r="DM93" s="2"/>
      <c r="DN93" s="2"/>
      <c r="DO93" s="2"/>
      <c r="DP93" s="2"/>
      <c r="DQ93" s="2"/>
      <c r="DR93" s="2"/>
      <c r="DS93" s="2"/>
      <c r="DT93" s="2"/>
      <c r="DU93" s="2"/>
      <c r="DV93" s="2"/>
      <c r="DW93" s="2"/>
      <c r="DX93" s="2"/>
      <c r="DY93" s="2"/>
      <c r="DZ93" s="2"/>
      <c r="EA93" s="2"/>
      <c r="EB93" s="2"/>
      <c r="EC93" s="2"/>
      <c r="ED93" s="2"/>
      <c r="EE93" s="2"/>
      <c r="EF93" s="1"/>
      <c r="EG93" s="98"/>
      <c r="EH93" s="98"/>
      <c r="EI93" s="1"/>
      <c r="EJ93" s="1"/>
      <c r="EK93" s="98"/>
      <c r="EL93" s="1"/>
    </row>
    <row r="94" spans="1:142">
      <c r="A94" s="32">
        <f t="shared" si="46"/>
        <v>6439</v>
      </c>
      <c r="B94" s="3" t="str">
        <f t="shared" si="47"/>
        <v>sv_statement//Statement//Export Statement&amp;PDFID=Jeff Bashaw_6439&amp;SO=Y</v>
      </c>
      <c r="C94" s="5" t="str">
        <f t="shared" si="88"/>
        <v>Statement</v>
      </c>
      <c r="D94" s="5" t="str">
        <f t="shared" si="48"/>
        <v>Jeff Bashaw_6439</v>
      </c>
      <c r="E94" s="5"/>
      <c r="F94" s="5">
        <v>6439</v>
      </c>
      <c r="G94" s="22" t="s">
        <v>349</v>
      </c>
      <c r="H94" s="5" t="s">
        <v>173</v>
      </c>
      <c r="I94" s="5" t="s">
        <v>190</v>
      </c>
      <c r="J94" s="5" t="s">
        <v>220</v>
      </c>
      <c r="K94" s="5" t="s">
        <v>328</v>
      </c>
      <c r="L94" s="31">
        <f t="shared" si="49"/>
        <v>11308</v>
      </c>
      <c r="M94" s="5" t="s">
        <v>154</v>
      </c>
      <c r="N94" s="22" t="s">
        <v>155</v>
      </c>
      <c r="O94" s="100">
        <v>37683</v>
      </c>
      <c r="P94" s="146">
        <f>VLOOKUP(I94,'Job Codes'!$B$2:$I$120,4,FALSE)</f>
        <v>33000</v>
      </c>
      <c r="Q94" s="146">
        <f>VLOOKUP(I94,'Job Codes'!$B$2:$I$120,5,FALSE)</f>
        <v>42900</v>
      </c>
      <c r="R94" s="146">
        <f>VLOOKUP(I94,'Job Codes'!$B$2:$I$120,6,FALSE)</f>
        <v>51480</v>
      </c>
      <c r="S94" s="22" t="s">
        <v>171</v>
      </c>
      <c r="T94" s="146">
        <v>46634</v>
      </c>
      <c r="U94" s="8">
        <f>VLOOKUP(S94,Data!$H$22:$I$25,2,FALSE)*T94</f>
        <v>46634</v>
      </c>
      <c r="V94" s="180">
        <f t="shared" si="50"/>
        <v>1.087039627039627</v>
      </c>
      <c r="W94" s="180">
        <f t="shared" si="51"/>
        <v>0</v>
      </c>
      <c r="X94" s="22" t="str">
        <f t="shared" si="52"/>
        <v>No</v>
      </c>
      <c r="Y94" s="180">
        <f t="shared" si="53"/>
        <v>0</v>
      </c>
      <c r="Z94" s="146">
        <f t="shared" si="54"/>
        <v>0</v>
      </c>
      <c r="AA94" s="146">
        <f t="shared" si="55"/>
        <v>0</v>
      </c>
      <c r="AB94" s="72"/>
      <c r="AC94" s="146">
        <f>AB94/VLOOKUP(S94,Data!$H$22:$I$25,2,FALSE)</f>
        <v>0</v>
      </c>
      <c r="AD94" s="22" t="s">
        <v>157</v>
      </c>
      <c r="AE94" s="146">
        <f>VLOOKUP(S94,Data!$H$22:$J$25,3,FALSE)*T94</f>
        <v>1399.02</v>
      </c>
      <c r="AF94" s="8">
        <f>VLOOKUP(S94,Data!$H$22:$I$25,2,FALSE)*AE94</f>
        <v>1399.02</v>
      </c>
      <c r="AG94" s="8" t="s">
        <v>178</v>
      </c>
      <c r="AH94" s="23">
        <v>2.5000000000000001E-2</v>
      </c>
      <c r="AI94" s="72"/>
      <c r="AJ94" s="159">
        <f t="shared" si="56"/>
        <v>2.5000000000000001E-2</v>
      </c>
      <c r="AK94" s="168">
        <f t="shared" si="89"/>
        <v>1165.8500000000001</v>
      </c>
      <c r="AL94" s="160">
        <f t="shared" si="90"/>
        <v>1165.8500000000001</v>
      </c>
      <c r="AM94" s="168">
        <f t="shared" si="57"/>
        <v>47799.85</v>
      </c>
      <c r="AN94" s="160">
        <f t="shared" si="58"/>
        <v>47799.85</v>
      </c>
      <c r="AO94" s="160" t="str">
        <f t="shared" si="91"/>
        <v>No</v>
      </c>
      <c r="AP94" s="146">
        <f>IF(AQ94=0,0,AQ94/VLOOKUP(S94,Data!$H$22:$I$25,2,FALSE))</f>
        <v>0</v>
      </c>
      <c r="AQ94" s="183">
        <f t="shared" si="59"/>
        <v>0</v>
      </c>
      <c r="AR94" s="165">
        <f t="shared" si="60"/>
        <v>1165.8500000000001</v>
      </c>
      <c r="AS94" s="183">
        <f t="shared" si="61"/>
        <v>1165.8500000000001</v>
      </c>
      <c r="AT94" s="250">
        <f t="shared" si="62"/>
        <v>2.5000000000000001E-2</v>
      </c>
      <c r="AU94" s="146">
        <f t="shared" si="63"/>
        <v>47799.85</v>
      </c>
      <c r="AV94" s="8">
        <f t="shared" si="64"/>
        <v>47799.85</v>
      </c>
      <c r="AW94" s="8" t="str">
        <f t="shared" si="65"/>
        <v/>
      </c>
      <c r="AX94" s="180">
        <f t="shared" si="66"/>
        <v>1.1142156177156177</v>
      </c>
      <c r="AY94" s="146">
        <f t="shared" si="67"/>
        <v>0</v>
      </c>
      <c r="AZ94" s="146">
        <f t="shared" si="68"/>
        <v>0</v>
      </c>
      <c r="BA94" s="22" t="s">
        <v>159</v>
      </c>
      <c r="BB94" s="149"/>
      <c r="BC94" s="149"/>
      <c r="BD94" s="144"/>
      <c r="BE94" s="146" t="str">
        <f t="shared" si="69"/>
        <v/>
      </c>
      <c r="BF94" s="8" t="str">
        <f t="shared" si="70"/>
        <v/>
      </c>
      <c r="BG94" s="8" t="str">
        <f>IF(LEN(BC94)&gt;0,VLOOKUP(BC94,'Job Codes'!B87:I205,7,FALSE),"")</f>
        <v/>
      </c>
      <c r="BH94" s="192" t="str">
        <f>IF(LEN(BC94)&gt;0,VLOOKUP(BC94,'Job Codes'!B87:I205,8,FALSE),"")</f>
        <v/>
      </c>
      <c r="BI94" s="192" t="str">
        <f>IF(LEN(BC94)&gt;0,VLOOKUP(BC94,'Job Codes'!$B$2:$J$120,9,FALSE),"")</f>
        <v/>
      </c>
      <c r="BJ94" s="146" t="str">
        <f>IF(LEN(BC94)&gt;0,VLOOKUP(BC94,'Job Codes'!$B$2:$I$120,4,FALSE),"")</f>
        <v/>
      </c>
      <c r="BK94" s="146" t="str">
        <f>IF(LEN(BC94)&gt;0,VLOOKUP(BC94,'Job Codes'!$B$2:$I$120,5,FALSE),"")</f>
        <v/>
      </c>
      <c r="BL94" s="146" t="str">
        <f>IF(LEN(BC94)&gt;0,VLOOKUP(BC94,'Job Codes'!$B$2:$I$120,6,FALSE),"")</f>
        <v/>
      </c>
      <c r="BM94" s="168">
        <f t="shared" si="71"/>
        <v>47799.85</v>
      </c>
      <c r="BN94" s="160">
        <f t="shared" si="72"/>
        <v>47799.85</v>
      </c>
      <c r="BO94" s="22" t="s">
        <v>157</v>
      </c>
      <c r="BP94" s="157">
        <f>VLOOKUP(I94,'Job Codes'!$B$2:$I$120,8,FALSE)</f>
        <v>0.1</v>
      </c>
      <c r="BQ94" s="25" t="str">
        <f>IF(O94&gt;Data!$H$33,"Yes","No")</f>
        <v>No</v>
      </c>
      <c r="BR94" s="191">
        <v>0.1</v>
      </c>
      <c r="BS94" s="150">
        <f t="shared" si="73"/>
        <v>4663.4000000000005</v>
      </c>
      <c r="BT94" s="25">
        <f t="shared" si="74"/>
        <v>4663.4000000000005</v>
      </c>
      <c r="BU94" s="161">
        <v>1</v>
      </c>
      <c r="BV94" s="168">
        <f t="shared" si="75"/>
        <v>4663.4000000000005</v>
      </c>
      <c r="BW94" s="160">
        <f t="shared" si="76"/>
        <v>4663.4000000000005</v>
      </c>
      <c r="BX94" s="149"/>
      <c r="BY94" s="32">
        <f t="shared" si="77"/>
        <v>0</v>
      </c>
      <c r="BZ94" s="22" t="s">
        <v>157</v>
      </c>
      <c r="CA94" s="231">
        <f>VLOOKUP(I94,'Job Codes'!$B$2:$J$120,9,FALSE)</f>
        <v>0.1</v>
      </c>
      <c r="CB94" s="253">
        <f t="shared" si="78"/>
        <v>4663.4000000000005</v>
      </c>
      <c r="CC94" s="72"/>
      <c r="CD94" s="25" t="str">
        <f t="shared" si="79"/>
        <v>Meets</v>
      </c>
      <c r="CE94" s="27"/>
      <c r="CF94" s="27"/>
      <c r="CG94" s="27"/>
      <c r="CH94" s="27"/>
      <c r="CI94" s="27"/>
      <c r="CJ94" s="3"/>
      <c r="CK94" s="3"/>
      <c r="CL94" s="3">
        <v>4569</v>
      </c>
      <c r="CM94" s="3" t="s">
        <v>161</v>
      </c>
      <c r="CN94" s="3">
        <v>4571</v>
      </c>
      <c r="CO94" s="3" t="s">
        <v>162</v>
      </c>
      <c r="CP94" s="3">
        <v>12345</v>
      </c>
      <c r="CQ94" s="3" t="s">
        <v>163</v>
      </c>
      <c r="CR94" s="246" t="s">
        <v>164</v>
      </c>
      <c r="CS94" s="247" t="s">
        <v>165</v>
      </c>
      <c r="CT94" s="246" t="s">
        <v>166</v>
      </c>
      <c r="CU94" s="247" t="s">
        <v>167</v>
      </c>
      <c r="CV94" s="3" t="str">
        <f t="shared" si="80"/>
        <v>67890;99485</v>
      </c>
      <c r="CW94" s="3" t="s">
        <v>168</v>
      </c>
      <c r="CX94" s="3" t="str">
        <f t="shared" si="81"/>
        <v>AB94;;BB94:BD94;;</v>
      </c>
      <c r="CY94" s="5" t="str">
        <f t="shared" si="82"/>
        <v>Unlock</v>
      </c>
      <c r="CZ94" s="5" t="str">
        <f t="shared" si="83"/>
        <v>Lock</v>
      </c>
      <c r="DA94" s="5" t="str">
        <f t="shared" si="84"/>
        <v>Lock</v>
      </c>
      <c r="DB94" s="5" t="str">
        <f t="shared" si="85"/>
        <v>Lock</v>
      </c>
      <c r="DC94" s="5" t="str">
        <f t="shared" si="86"/>
        <v>Lock</v>
      </c>
      <c r="DD94" s="78">
        <f t="shared" si="87"/>
        <v>3</v>
      </c>
      <c r="DE94" s="2"/>
      <c r="DF94" s="2"/>
      <c r="DG94" s="2"/>
      <c r="DH94" s="2"/>
      <c r="DI94" s="2"/>
      <c r="DJ94" s="2"/>
      <c r="DK94" s="5"/>
      <c r="DL94" s="2"/>
      <c r="DM94" s="2"/>
      <c r="DN94" s="2"/>
      <c r="DO94" s="2"/>
      <c r="DP94" s="2"/>
      <c r="DQ94" s="2"/>
      <c r="DR94" s="2"/>
      <c r="DS94" s="2"/>
      <c r="DT94" s="2"/>
      <c r="DU94" s="2"/>
      <c r="DV94" s="2"/>
      <c r="DW94" s="2"/>
      <c r="DX94" s="2"/>
      <c r="DY94" s="2"/>
      <c r="DZ94" s="2"/>
      <c r="EA94" s="2"/>
      <c r="EB94" s="2"/>
      <c r="EC94" s="2"/>
      <c r="ED94" s="2"/>
      <c r="EE94" s="2"/>
      <c r="EF94" s="1"/>
      <c r="EG94" s="98"/>
      <c r="EH94" s="98"/>
      <c r="EI94" s="1"/>
      <c r="EJ94" s="1"/>
      <c r="EK94" s="98"/>
      <c r="EL94" s="1"/>
    </row>
    <row r="95" spans="1:142">
      <c r="A95" s="32">
        <f t="shared" si="46"/>
        <v>6461</v>
      </c>
      <c r="B95" s="3" t="str">
        <f t="shared" si="47"/>
        <v>sv_statement//Statement//Export Statement&amp;PDFID=Maryann Salgado_6461&amp;SO=Y</v>
      </c>
      <c r="C95" s="5" t="str">
        <f t="shared" si="88"/>
        <v>Statement</v>
      </c>
      <c r="D95" s="5" t="str">
        <f t="shared" si="48"/>
        <v>Maryann Salgado_6461</v>
      </c>
      <c r="E95" s="5"/>
      <c r="F95" s="5">
        <v>6461</v>
      </c>
      <c r="G95" s="22" t="s">
        <v>350</v>
      </c>
      <c r="H95" s="5" t="s">
        <v>296</v>
      </c>
      <c r="I95" s="5" t="s">
        <v>351</v>
      </c>
      <c r="J95" s="5" t="s">
        <v>220</v>
      </c>
      <c r="K95" s="5" t="s">
        <v>328</v>
      </c>
      <c r="L95" s="31">
        <f t="shared" si="49"/>
        <v>11308</v>
      </c>
      <c r="M95" s="5" t="s">
        <v>154</v>
      </c>
      <c r="N95" s="22" t="s">
        <v>155</v>
      </c>
      <c r="O95" s="100">
        <v>37781</v>
      </c>
      <c r="P95" s="146">
        <f>VLOOKUP(I95,'Job Codes'!$B$2:$I$120,4,FALSE)</f>
        <v>26500</v>
      </c>
      <c r="Q95" s="146">
        <f>VLOOKUP(I95,'Job Codes'!$B$2:$I$120,5,FALSE)</f>
        <v>34450</v>
      </c>
      <c r="R95" s="146">
        <f>VLOOKUP(I95,'Job Codes'!$B$2:$I$120,6,FALSE)</f>
        <v>41340</v>
      </c>
      <c r="S95" s="22" t="s">
        <v>171</v>
      </c>
      <c r="T95" s="146">
        <v>31200</v>
      </c>
      <c r="U95" s="8">
        <f>VLOOKUP(S95,Data!$H$22:$I$25,2,FALSE)*T95</f>
        <v>31200</v>
      </c>
      <c r="V95" s="180">
        <f t="shared" si="50"/>
        <v>0.90566037735849059</v>
      </c>
      <c r="W95" s="180">
        <f t="shared" si="51"/>
        <v>0.10416666666666667</v>
      </c>
      <c r="X95" s="22" t="str">
        <f t="shared" si="52"/>
        <v>Yes</v>
      </c>
      <c r="Y95" s="180">
        <f t="shared" si="53"/>
        <v>0.02</v>
      </c>
      <c r="Z95" s="146">
        <f t="shared" si="54"/>
        <v>624</v>
      </c>
      <c r="AA95" s="146">
        <f t="shared" si="55"/>
        <v>624</v>
      </c>
      <c r="AB95" s="72"/>
      <c r="AC95" s="146">
        <f>AB95/VLOOKUP(S95,Data!$H$22:$I$25,2,FALSE)</f>
        <v>0</v>
      </c>
      <c r="AD95" s="22" t="s">
        <v>157</v>
      </c>
      <c r="AE95" s="146">
        <f>VLOOKUP(S95,Data!$H$22:$J$25,3,FALSE)*T95</f>
        <v>936</v>
      </c>
      <c r="AF95" s="8">
        <f>VLOOKUP(S95,Data!$H$22:$I$25,2,FALSE)*AE95</f>
        <v>936</v>
      </c>
      <c r="AG95" s="8" t="s">
        <v>172</v>
      </c>
      <c r="AH95" s="23">
        <v>0</v>
      </c>
      <c r="AI95" s="72"/>
      <c r="AJ95" s="159">
        <f t="shared" si="56"/>
        <v>0</v>
      </c>
      <c r="AK95" s="168">
        <f t="shared" si="89"/>
        <v>0</v>
      </c>
      <c r="AL95" s="160">
        <f t="shared" si="90"/>
        <v>0</v>
      </c>
      <c r="AM95" s="168">
        <f t="shared" si="57"/>
        <v>31200</v>
      </c>
      <c r="AN95" s="160">
        <f t="shared" si="58"/>
        <v>31200</v>
      </c>
      <c r="AO95" s="160" t="str">
        <f t="shared" si="91"/>
        <v>No</v>
      </c>
      <c r="AP95" s="146">
        <f>IF(AQ95=0,0,AQ95/VLOOKUP(S95,Data!$H$22:$I$25,2,FALSE))</f>
        <v>0</v>
      </c>
      <c r="AQ95" s="183">
        <f t="shared" si="59"/>
        <v>0</v>
      </c>
      <c r="AR95" s="165">
        <f t="shared" si="60"/>
        <v>0</v>
      </c>
      <c r="AS95" s="183">
        <f t="shared" si="61"/>
        <v>0</v>
      </c>
      <c r="AT95" s="250">
        <f t="shared" si="62"/>
        <v>0</v>
      </c>
      <c r="AU95" s="146">
        <f t="shared" si="63"/>
        <v>31200</v>
      </c>
      <c r="AV95" s="8">
        <f t="shared" si="64"/>
        <v>31200</v>
      </c>
      <c r="AW95" s="8" t="str">
        <f t="shared" si="65"/>
        <v/>
      </c>
      <c r="AX95" s="180">
        <f t="shared" si="66"/>
        <v>0.90566037735849059</v>
      </c>
      <c r="AY95" s="146">
        <f t="shared" si="67"/>
        <v>0</v>
      </c>
      <c r="AZ95" s="146">
        <f t="shared" si="68"/>
        <v>0</v>
      </c>
      <c r="BA95" s="22" t="s">
        <v>159</v>
      </c>
      <c r="BB95" s="149"/>
      <c r="BC95" s="149"/>
      <c r="BD95" s="144"/>
      <c r="BE95" s="146" t="str">
        <f t="shared" si="69"/>
        <v/>
      </c>
      <c r="BF95" s="8" t="str">
        <f t="shared" si="70"/>
        <v/>
      </c>
      <c r="BG95" s="8" t="str">
        <f>IF(LEN(BC95)&gt;0,VLOOKUP(BC95,'Job Codes'!B88:I206,7,FALSE),"")</f>
        <v/>
      </c>
      <c r="BH95" s="192" t="str">
        <f>IF(LEN(BC95)&gt;0,VLOOKUP(BC95,'Job Codes'!B88:I206,8,FALSE),"")</f>
        <v/>
      </c>
      <c r="BI95" s="192" t="str">
        <f>IF(LEN(BC95)&gt;0,VLOOKUP(BC95,'Job Codes'!$B$2:$J$120,9,FALSE),"")</f>
        <v/>
      </c>
      <c r="BJ95" s="146" t="str">
        <f>IF(LEN(BC95)&gt;0,VLOOKUP(BC95,'Job Codes'!$B$2:$I$120,4,FALSE),"")</f>
        <v/>
      </c>
      <c r="BK95" s="146" t="str">
        <f>IF(LEN(BC95)&gt;0,VLOOKUP(BC95,'Job Codes'!$B$2:$I$120,5,FALSE),"")</f>
        <v/>
      </c>
      <c r="BL95" s="146" t="str">
        <f>IF(LEN(BC95)&gt;0,VLOOKUP(BC95,'Job Codes'!$B$2:$I$120,6,FALSE),"")</f>
        <v/>
      </c>
      <c r="BM95" s="168">
        <f t="shared" si="71"/>
        <v>31200</v>
      </c>
      <c r="BN95" s="160">
        <f t="shared" si="72"/>
        <v>31200</v>
      </c>
      <c r="BO95" s="22" t="s">
        <v>157</v>
      </c>
      <c r="BP95" s="157">
        <f>VLOOKUP(I95,'Job Codes'!$B$2:$I$120,8,FALSE)</f>
        <v>0.05</v>
      </c>
      <c r="BQ95" s="25" t="str">
        <f>IF(O95&gt;Data!$H$33,"Yes","No")</f>
        <v>No</v>
      </c>
      <c r="BR95" s="191">
        <v>0.05</v>
      </c>
      <c r="BS95" s="150">
        <f t="shared" si="73"/>
        <v>1560</v>
      </c>
      <c r="BT95" s="25">
        <f t="shared" si="74"/>
        <v>1560</v>
      </c>
      <c r="BU95" s="161">
        <v>1</v>
      </c>
      <c r="BV95" s="168">
        <f t="shared" si="75"/>
        <v>1560</v>
      </c>
      <c r="BW95" s="160">
        <f t="shared" si="76"/>
        <v>1560</v>
      </c>
      <c r="BX95" s="149" t="s">
        <v>352</v>
      </c>
      <c r="BY95" s="32">
        <f t="shared" si="77"/>
        <v>0</v>
      </c>
      <c r="BZ95" s="22" t="s">
        <v>159</v>
      </c>
      <c r="CA95" s="231">
        <f>VLOOKUP(I95,'Job Codes'!$B$2:$J$120,9,FALSE)</f>
        <v>0</v>
      </c>
      <c r="CB95" s="253">
        <f t="shared" si="78"/>
        <v>0</v>
      </c>
      <c r="CC95" s="72"/>
      <c r="CD95" s="25" t="str">
        <f t="shared" si="79"/>
        <v>Below</v>
      </c>
      <c r="CE95" s="27"/>
      <c r="CF95" s="27"/>
      <c r="CG95" s="27"/>
      <c r="CH95" s="27"/>
      <c r="CI95" s="27"/>
      <c r="CJ95" s="3"/>
      <c r="CK95" s="3"/>
      <c r="CL95" s="3">
        <v>4569</v>
      </c>
      <c r="CM95" s="3" t="s">
        <v>161</v>
      </c>
      <c r="CN95" s="3">
        <v>4571</v>
      </c>
      <c r="CO95" s="3" t="s">
        <v>162</v>
      </c>
      <c r="CP95" s="3">
        <v>12345</v>
      </c>
      <c r="CQ95" s="3" t="s">
        <v>163</v>
      </c>
      <c r="CR95" s="246" t="s">
        <v>164</v>
      </c>
      <c r="CS95" s="247" t="s">
        <v>165</v>
      </c>
      <c r="CT95" s="246" t="s">
        <v>166</v>
      </c>
      <c r="CU95" s="247" t="s">
        <v>167</v>
      </c>
      <c r="CV95" s="3" t="str">
        <f t="shared" si="80"/>
        <v>67890;99485</v>
      </c>
      <c r="CW95" s="3" t="s">
        <v>168</v>
      </c>
      <c r="CX95" s="3" t="str">
        <f t="shared" si="81"/>
        <v>;;BB95:BD95;;CC95</v>
      </c>
      <c r="CY95" s="5" t="str">
        <f t="shared" si="82"/>
        <v>Unlock</v>
      </c>
      <c r="CZ95" s="5" t="str">
        <f t="shared" si="83"/>
        <v>Lock</v>
      </c>
      <c r="DA95" s="5" t="str">
        <f t="shared" si="84"/>
        <v>Lock</v>
      </c>
      <c r="DB95" s="5" t="str">
        <f t="shared" si="85"/>
        <v>Lock</v>
      </c>
      <c r="DC95" s="5" t="str">
        <f t="shared" si="86"/>
        <v>Lock</v>
      </c>
      <c r="DD95" s="78">
        <f t="shared" si="87"/>
        <v>3</v>
      </c>
      <c r="DE95" s="2"/>
      <c r="DF95" s="2"/>
      <c r="DG95" s="2"/>
      <c r="DH95" s="2"/>
      <c r="DI95" s="2"/>
      <c r="DJ95" s="2"/>
      <c r="DK95" s="5"/>
      <c r="DL95" s="2"/>
      <c r="DM95" s="2"/>
      <c r="DN95" s="2"/>
      <c r="DO95" s="2"/>
      <c r="DP95" s="2"/>
      <c r="DQ95" s="2"/>
      <c r="DR95" s="2"/>
      <c r="DS95" s="2"/>
      <c r="DT95" s="2"/>
      <c r="DU95" s="2"/>
      <c r="DV95" s="2"/>
      <c r="DW95" s="2"/>
      <c r="DX95" s="2"/>
      <c r="DY95" s="2"/>
      <c r="DZ95" s="2"/>
      <c r="EA95" s="2"/>
      <c r="EB95" s="2"/>
      <c r="EC95" s="2"/>
      <c r="ED95" s="2"/>
      <c r="EE95" s="2"/>
      <c r="EF95" s="1"/>
      <c r="EG95" s="98"/>
      <c r="EH95" s="98"/>
      <c r="EI95" s="1"/>
      <c r="EJ95" s="1"/>
      <c r="EK95" s="98"/>
      <c r="EL95" s="1"/>
    </row>
    <row r="96" spans="1:142">
      <c r="A96" s="32">
        <f t="shared" si="46"/>
        <v>6563</v>
      </c>
      <c r="B96" s="3" t="str">
        <f t="shared" si="47"/>
        <v>sv_statement//Statement//Export Statement&amp;PDFID=Robert Stackhouse_6563&amp;SO=Y</v>
      </c>
      <c r="C96" s="5" t="str">
        <f t="shared" si="88"/>
        <v>Statement</v>
      </c>
      <c r="D96" s="5" t="str">
        <f t="shared" si="48"/>
        <v>Robert Stackhouse_6563</v>
      </c>
      <c r="E96" s="5"/>
      <c r="F96" s="5">
        <v>6563</v>
      </c>
      <c r="G96" s="22" t="s">
        <v>353</v>
      </c>
      <c r="H96" s="5" t="s">
        <v>250</v>
      </c>
      <c r="I96" s="5" t="s">
        <v>354</v>
      </c>
      <c r="J96" s="5" t="s">
        <v>252</v>
      </c>
      <c r="K96" s="5" t="s">
        <v>333</v>
      </c>
      <c r="L96" s="31">
        <f t="shared" si="49"/>
        <v>29326</v>
      </c>
      <c r="M96" s="5" t="s">
        <v>334</v>
      </c>
      <c r="N96" s="22" t="s">
        <v>155</v>
      </c>
      <c r="O96" s="100">
        <v>38243</v>
      </c>
      <c r="P96" s="146">
        <f>VLOOKUP(I96,'Job Codes'!$B$2:$I$120,4,FALSE)</f>
        <v>23000</v>
      </c>
      <c r="Q96" s="146">
        <f>VLOOKUP(I96,'Job Codes'!$B$2:$I$120,5,FALSE)</f>
        <v>29900</v>
      </c>
      <c r="R96" s="146">
        <f>VLOOKUP(I96,'Job Codes'!$B$2:$I$120,6,FALSE)</f>
        <v>35880</v>
      </c>
      <c r="S96" s="22" t="s">
        <v>171</v>
      </c>
      <c r="T96" s="146">
        <v>35880</v>
      </c>
      <c r="U96" s="8">
        <f>VLOOKUP(S96,Data!$H$22:$I$25,2,FALSE)*T96</f>
        <v>35880</v>
      </c>
      <c r="V96" s="180">
        <f t="shared" si="50"/>
        <v>1.2</v>
      </c>
      <c r="W96" s="180">
        <f t="shared" si="51"/>
        <v>0</v>
      </c>
      <c r="X96" s="22" t="str">
        <f t="shared" si="52"/>
        <v>No</v>
      </c>
      <c r="Y96" s="180">
        <f t="shared" si="53"/>
        <v>0</v>
      </c>
      <c r="Z96" s="146">
        <f t="shared" si="54"/>
        <v>0</v>
      </c>
      <c r="AA96" s="146">
        <f t="shared" si="55"/>
        <v>0</v>
      </c>
      <c r="AB96" s="72"/>
      <c r="AC96" s="146">
        <f>AB96/VLOOKUP(S96,Data!$H$22:$I$25,2,FALSE)</f>
        <v>0</v>
      </c>
      <c r="AD96" s="22" t="s">
        <v>157</v>
      </c>
      <c r="AE96" s="146">
        <f>VLOOKUP(S96,Data!$H$22:$J$25,3,FALSE)*T96</f>
        <v>1076.3999999999999</v>
      </c>
      <c r="AF96" s="8">
        <f>VLOOKUP(S96,Data!$H$22:$I$25,2,FALSE)*AE96</f>
        <v>1076.3999999999999</v>
      </c>
      <c r="AG96" s="8" t="s">
        <v>158</v>
      </c>
      <c r="AH96" s="23">
        <v>0.04</v>
      </c>
      <c r="AI96" s="72"/>
      <c r="AJ96" s="159">
        <f t="shared" si="56"/>
        <v>0.04</v>
      </c>
      <c r="AK96" s="168">
        <f t="shared" si="89"/>
        <v>1435.2</v>
      </c>
      <c r="AL96" s="160">
        <f t="shared" si="90"/>
        <v>1435.2</v>
      </c>
      <c r="AM96" s="168">
        <f t="shared" si="57"/>
        <v>37315.199999999997</v>
      </c>
      <c r="AN96" s="160">
        <f t="shared" si="58"/>
        <v>37315.199999999997</v>
      </c>
      <c r="AO96" s="160" t="str">
        <f t="shared" si="91"/>
        <v>Yes by USD 1,435</v>
      </c>
      <c r="AP96" s="146">
        <f>IF(AQ96=0,0,AQ96/VLOOKUP(S96,Data!$H$22:$I$25,2,FALSE))</f>
        <v>1435.1999999999971</v>
      </c>
      <c r="AQ96" s="183">
        <f t="shared" si="59"/>
        <v>1435.1999999999971</v>
      </c>
      <c r="AR96" s="165">
        <f t="shared" si="60"/>
        <v>2.9558577807620168E-12</v>
      </c>
      <c r="AS96" s="183">
        <f t="shared" si="61"/>
        <v>2.9558577807620168E-12</v>
      </c>
      <c r="AT96" s="250">
        <f t="shared" si="62"/>
        <v>8.2381766464939153E-17</v>
      </c>
      <c r="AU96" s="146">
        <f t="shared" si="63"/>
        <v>35880</v>
      </c>
      <c r="AV96" s="8">
        <f t="shared" si="64"/>
        <v>35880</v>
      </c>
      <c r="AW96" s="8" t="str">
        <f t="shared" si="65"/>
        <v>Employee to receive full proposed merit increase as a lump sum</v>
      </c>
      <c r="AX96" s="180">
        <f t="shared" si="66"/>
        <v>1.2</v>
      </c>
      <c r="AY96" s="146">
        <f t="shared" si="67"/>
        <v>0</v>
      </c>
      <c r="AZ96" s="146">
        <f t="shared" si="68"/>
        <v>0</v>
      </c>
      <c r="BA96" s="22" t="s">
        <v>159</v>
      </c>
      <c r="BB96" s="149"/>
      <c r="BC96" s="149"/>
      <c r="BD96" s="144"/>
      <c r="BE96" s="146" t="str">
        <f t="shared" si="69"/>
        <v/>
      </c>
      <c r="BF96" s="8" t="str">
        <f t="shared" si="70"/>
        <v/>
      </c>
      <c r="BG96" s="8" t="str">
        <f>IF(LEN(BC96)&gt;0,VLOOKUP(BC96,'Job Codes'!B89:I207,7,FALSE),"")</f>
        <v/>
      </c>
      <c r="BH96" s="192" t="str">
        <f>IF(LEN(BC96)&gt;0,VLOOKUP(BC96,'Job Codes'!B89:I207,8,FALSE),"")</f>
        <v/>
      </c>
      <c r="BI96" s="192" t="str">
        <f>IF(LEN(BC96)&gt;0,VLOOKUP(BC96,'Job Codes'!$B$2:$J$120,9,FALSE),"")</f>
        <v/>
      </c>
      <c r="BJ96" s="146" t="str">
        <f>IF(LEN(BC96)&gt;0,VLOOKUP(BC96,'Job Codes'!$B$2:$I$120,4,FALSE),"")</f>
        <v/>
      </c>
      <c r="BK96" s="146" t="str">
        <f>IF(LEN(BC96)&gt;0,VLOOKUP(BC96,'Job Codes'!$B$2:$I$120,5,FALSE),"")</f>
        <v/>
      </c>
      <c r="BL96" s="146" t="str">
        <f>IF(LEN(BC96)&gt;0,VLOOKUP(BC96,'Job Codes'!$B$2:$I$120,6,FALSE),"")</f>
        <v/>
      </c>
      <c r="BM96" s="168">
        <f t="shared" si="71"/>
        <v>35880</v>
      </c>
      <c r="BN96" s="160">
        <f t="shared" si="72"/>
        <v>35880</v>
      </c>
      <c r="BO96" s="22" t="s">
        <v>159</v>
      </c>
      <c r="BP96" s="157">
        <f>VLOOKUP(I96,'Job Codes'!$B$2:$I$120,8,FALSE)</f>
        <v>0</v>
      </c>
      <c r="BQ96" s="25" t="str">
        <f>IF(O96&gt;Data!$H$33,"Yes","No")</f>
        <v>No</v>
      </c>
      <c r="BR96" s="191">
        <v>0</v>
      </c>
      <c r="BS96" s="150">
        <f t="shared" si="73"/>
        <v>0</v>
      </c>
      <c r="BT96" s="25">
        <f t="shared" si="74"/>
        <v>0</v>
      </c>
      <c r="BU96" s="161">
        <v>1</v>
      </c>
      <c r="BV96" s="168">
        <f t="shared" si="75"/>
        <v>0</v>
      </c>
      <c r="BW96" s="160">
        <f t="shared" si="76"/>
        <v>0</v>
      </c>
      <c r="BX96" s="149"/>
      <c r="BY96" s="32">
        <f t="shared" si="77"/>
        <v>0</v>
      </c>
      <c r="BZ96" s="22" t="s">
        <v>159</v>
      </c>
      <c r="CA96" s="231">
        <f>VLOOKUP(I96,'Job Codes'!$B$2:$J$120,9,FALSE)</f>
        <v>0</v>
      </c>
      <c r="CB96" s="253">
        <f t="shared" si="78"/>
        <v>0</v>
      </c>
      <c r="CC96" s="72"/>
      <c r="CD96" s="25" t="str">
        <f t="shared" si="79"/>
        <v>Exceeds</v>
      </c>
      <c r="CE96" s="27"/>
      <c r="CF96" s="27"/>
      <c r="CG96" s="27"/>
      <c r="CH96" s="27"/>
      <c r="CI96" s="27"/>
      <c r="CJ96" s="3">
        <v>29271</v>
      </c>
      <c r="CK96" s="3" t="s">
        <v>255</v>
      </c>
      <c r="CL96" s="3">
        <v>4569</v>
      </c>
      <c r="CM96" s="3" t="s">
        <v>161</v>
      </c>
      <c r="CN96" s="3">
        <v>4571</v>
      </c>
      <c r="CO96" s="3" t="s">
        <v>162</v>
      </c>
      <c r="CP96" s="3">
        <v>12345</v>
      </c>
      <c r="CQ96" s="3" t="s">
        <v>163</v>
      </c>
      <c r="CR96" s="246" t="s">
        <v>164</v>
      </c>
      <c r="CS96" s="5" t="s">
        <v>165</v>
      </c>
      <c r="CT96" s="246" t="s">
        <v>256</v>
      </c>
      <c r="CU96" s="247" t="s">
        <v>257</v>
      </c>
      <c r="CV96" s="3" t="str">
        <f t="shared" si="80"/>
        <v>67890;86672</v>
      </c>
      <c r="CW96" s="3" t="s">
        <v>168</v>
      </c>
      <c r="CX96" s="3" t="str">
        <f t="shared" si="81"/>
        <v>AB96;;BB96:BD96;BU96;BX96</v>
      </c>
      <c r="CY96" s="5" t="str">
        <f t="shared" si="82"/>
        <v>Unlock</v>
      </c>
      <c r="CZ96" s="5" t="str">
        <f t="shared" si="83"/>
        <v>Lock</v>
      </c>
      <c r="DA96" s="5" t="str">
        <f t="shared" si="84"/>
        <v>Lock</v>
      </c>
      <c r="DB96" s="5" t="str">
        <f t="shared" si="85"/>
        <v>Lock</v>
      </c>
      <c r="DC96" s="5" t="str">
        <f t="shared" si="86"/>
        <v>Lock</v>
      </c>
      <c r="DD96" s="78">
        <f t="shared" si="87"/>
        <v>2</v>
      </c>
      <c r="DE96" s="2"/>
      <c r="DF96" s="2"/>
      <c r="DG96" s="2"/>
      <c r="DH96" s="2"/>
      <c r="DI96" s="2"/>
      <c r="DJ96" s="2"/>
      <c r="DK96" s="5"/>
      <c r="DL96" s="2"/>
      <c r="DM96" s="2"/>
      <c r="DN96" s="2"/>
      <c r="DO96" s="2"/>
      <c r="DP96" s="2"/>
      <c r="DQ96" s="2"/>
      <c r="DR96" s="2"/>
      <c r="DS96" s="2"/>
      <c r="DT96" s="2"/>
      <c r="DU96" s="2"/>
      <c r="DV96" s="2"/>
      <c r="DW96" s="2"/>
      <c r="DX96" s="2"/>
      <c r="DY96" s="2"/>
      <c r="DZ96" s="2"/>
      <c r="EA96" s="2"/>
      <c r="EB96" s="2"/>
      <c r="EC96" s="2"/>
      <c r="ED96" s="2"/>
      <c r="EE96" s="2"/>
      <c r="EF96" s="1"/>
      <c r="EG96" s="98"/>
      <c r="EH96" s="98"/>
      <c r="EI96" s="1"/>
      <c r="EJ96" s="1"/>
      <c r="EK96" s="98"/>
      <c r="EL96" s="1"/>
    </row>
    <row r="97" spans="1:142">
      <c r="A97" s="32">
        <f t="shared" si="46"/>
        <v>6654</v>
      </c>
      <c r="B97" s="3" t="str">
        <f t="shared" si="47"/>
        <v>sv_statement//Statement//Export Statement&amp;PDFID=Geraldine Beck_6654&amp;SO=Y</v>
      </c>
      <c r="C97" s="5" t="str">
        <f t="shared" si="88"/>
        <v>Statement</v>
      </c>
      <c r="D97" s="5" t="str">
        <f t="shared" si="48"/>
        <v>Geraldine Beck_6654</v>
      </c>
      <c r="E97" s="5"/>
      <c r="F97" s="5">
        <v>6654</v>
      </c>
      <c r="G97" s="22" t="s">
        <v>355</v>
      </c>
      <c r="H97" s="5" t="s">
        <v>214</v>
      </c>
      <c r="I97" s="5" t="s">
        <v>276</v>
      </c>
      <c r="J97" s="5" t="s">
        <v>208</v>
      </c>
      <c r="K97" s="5" t="s">
        <v>211</v>
      </c>
      <c r="L97" s="31">
        <f t="shared" si="49"/>
        <v>11498</v>
      </c>
      <c r="M97" s="5" t="s">
        <v>197</v>
      </c>
      <c r="N97" s="22" t="s">
        <v>155</v>
      </c>
      <c r="O97" s="100">
        <v>36987</v>
      </c>
      <c r="P97" s="146">
        <f>VLOOKUP(I97,'Job Codes'!$B$2:$I$120,4,FALSE)</f>
        <v>37000</v>
      </c>
      <c r="Q97" s="146">
        <f>VLOOKUP(I97,'Job Codes'!$B$2:$I$120,5,FALSE)</f>
        <v>48100</v>
      </c>
      <c r="R97" s="146">
        <f>VLOOKUP(I97,'Job Codes'!$B$2:$I$120,6,FALSE)</f>
        <v>57720</v>
      </c>
      <c r="S97" s="22" t="s">
        <v>171</v>
      </c>
      <c r="T97" s="146">
        <v>37440</v>
      </c>
      <c r="U97" s="8">
        <f>VLOOKUP(S97,Data!$H$22:$I$25,2,FALSE)*T97</f>
        <v>37440</v>
      </c>
      <c r="V97" s="180">
        <f t="shared" si="50"/>
        <v>0.77837837837837842</v>
      </c>
      <c r="W97" s="180">
        <f t="shared" si="51"/>
        <v>0.28472222222222221</v>
      </c>
      <c r="X97" s="22" t="str">
        <f t="shared" si="52"/>
        <v>Yes</v>
      </c>
      <c r="Y97" s="180">
        <f t="shared" si="53"/>
        <v>0.02</v>
      </c>
      <c r="Z97" s="146">
        <f t="shared" si="54"/>
        <v>748.80000000000007</v>
      </c>
      <c r="AA97" s="146">
        <f t="shared" si="55"/>
        <v>748.80000000000007</v>
      </c>
      <c r="AB97" s="72"/>
      <c r="AC97" s="146">
        <f>AB97/VLOOKUP(S97,Data!$H$22:$I$25,2,FALSE)</f>
        <v>0</v>
      </c>
      <c r="AD97" s="22" t="s">
        <v>157</v>
      </c>
      <c r="AE97" s="146">
        <f>VLOOKUP(S97,Data!$H$22:$J$25,3,FALSE)*T97</f>
        <v>1123.2</v>
      </c>
      <c r="AF97" s="8">
        <f>VLOOKUP(S97,Data!$H$22:$I$25,2,FALSE)*AE97</f>
        <v>1123.2</v>
      </c>
      <c r="AG97" s="8" t="s">
        <v>158</v>
      </c>
      <c r="AH97" s="23">
        <v>0.04</v>
      </c>
      <c r="AI97" s="72"/>
      <c r="AJ97" s="159">
        <f t="shared" si="56"/>
        <v>0.04</v>
      </c>
      <c r="AK97" s="168">
        <f t="shared" si="89"/>
        <v>1497.6000000000001</v>
      </c>
      <c r="AL97" s="160">
        <f t="shared" si="90"/>
        <v>1497.6000000000001</v>
      </c>
      <c r="AM97" s="168">
        <f t="shared" si="57"/>
        <v>38937.599999999999</v>
      </c>
      <c r="AN97" s="160">
        <f t="shared" si="58"/>
        <v>38937.599999999999</v>
      </c>
      <c r="AO97" s="160" t="str">
        <f t="shared" si="91"/>
        <v>No</v>
      </c>
      <c r="AP97" s="146">
        <f>IF(AQ97=0,0,AQ97/VLOOKUP(S97,Data!$H$22:$I$25,2,FALSE))</f>
        <v>0</v>
      </c>
      <c r="AQ97" s="183">
        <f t="shared" si="59"/>
        <v>0</v>
      </c>
      <c r="AR97" s="165">
        <f t="shared" si="60"/>
        <v>1497.6000000000001</v>
      </c>
      <c r="AS97" s="183">
        <f t="shared" si="61"/>
        <v>1497.6000000000001</v>
      </c>
      <c r="AT97" s="250">
        <f t="shared" si="62"/>
        <v>0.04</v>
      </c>
      <c r="AU97" s="146">
        <f t="shared" si="63"/>
        <v>38937.599999999999</v>
      </c>
      <c r="AV97" s="8">
        <f t="shared" si="64"/>
        <v>38937.599999999999</v>
      </c>
      <c r="AW97" s="8" t="str">
        <f t="shared" si="65"/>
        <v/>
      </c>
      <c r="AX97" s="180">
        <f t="shared" si="66"/>
        <v>0.80951351351351353</v>
      </c>
      <c r="AY97" s="146">
        <f t="shared" si="67"/>
        <v>0</v>
      </c>
      <c r="AZ97" s="146">
        <f t="shared" si="68"/>
        <v>0</v>
      </c>
      <c r="BA97" s="22" t="s">
        <v>159</v>
      </c>
      <c r="BB97" s="149"/>
      <c r="BC97" s="149"/>
      <c r="BD97" s="144"/>
      <c r="BE97" s="146" t="str">
        <f t="shared" si="69"/>
        <v/>
      </c>
      <c r="BF97" s="8" t="str">
        <f t="shared" si="70"/>
        <v/>
      </c>
      <c r="BG97" s="8" t="str">
        <f>IF(LEN(BC97)&gt;0,VLOOKUP(BC97,'Job Codes'!B90:I208,7,FALSE),"")</f>
        <v/>
      </c>
      <c r="BH97" s="192" t="str">
        <f>IF(LEN(BC97)&gt;0,VLOOKUP(BC97,'Job Codes'!B90:I208,8,FALSE),"")</f>
        <v/>
      </c>
      <c r="BI97" s="192" t="str">
        <f>IF(LEN(BC97)&gt;0,VLOOKUP(BC97,'Job Codes'!$B$2:$J$120,9,FALSE),"")</f>
        <v/>
      </c>
      <c r="BJ97" s="146" t="str">
        <f>IF(LEN(BC97)&gt;0,VLOOKUP(BC97,'Job Codes'!$B$2:$I$120,4,FALSE),"")</f>
        <v/>
      </c>
      <c r="BK97" s="146" t="str">
        <f>IF(LEN(BC97)&gt;0,VLOOKUP(BC97,'Job Codes'!$B$2:$I$120,5,FALSE),"")</f>
        <v/>
      </c>
      <c r="BL97" s="146" t="str">
        <f>IF(LEN(BC97)&gt;0,VLOOKUP(BC97,'Job Codes'!$B$2:$I$120,6,FALSE),"")</f>
        <v/>
      </c>
      <c r="BM97" s="168">
        <f t="shared" si="71"/>
        <v>38937.599999999999</v>
      </c>
      <c r="BN97" s="160">
        <f t="shared" si="72"/>
        <v>38937.599999999999</v>
      </c>
      <c r="BO97" s="22" t="s">
        <v>157</v>
      </c>
      <c r="BP97" s="157">
        <f>VLOOKUP(I97,'Job Codes'!$B$2:$I$120,8,FALSE)</f>
        <v>0.15</v>
      </c>
      <c r="BQ97" s="25" t="str">
        <f>IF(O97&gt;Data!$H$33,"Yes","No")</f>
        <v>No</v>
      </c>
      <c r="BR97" s="191">
        <v>0.15</v>
      </c>
      <c r="BS97" s="150">
        <f t="shared" si="73"/>
        <v>5616</v>
      </c>
      <c r="BT97" s="25">
        <f t="shared" si="74"/>
        <v>5616</v>
      </c>
      <c r="BU97" s="161">
        <v>1</v>
      </c>
      <c r="BV97" s="168">
        <f t="shared" si="75"/>
        <v>5616</v>
      </c>
      <c r="BW97" s="160">
        <f t="shared" si="76"/>
        <v>5616</v>
      </c>
      <c r="BX97" s="149"/>
      <c r="BY97" s="32">
        <f t="shared" si="77"/>
        <v>0</v>
      </c>
      <c r="BZ97" s="22" t="s">
        <v>157</v>
      </c>
      <c r="CA97" s="231">
        <f>VLOOKUP(I97,'Job Codes'!$B$2:$J$120,9,FALSE)</f>
        <v>0.15</v>
      </c>
      <c r="CB97" s="253">
        <f t="shared" si="78"/>
        <v>5616</v>
      </c>
      <c r="CC97" s="72"/>
      <c r="CD97" s="25" t="str">
        <f t="shared" si="79"/>
        <v>Exceeds</v>
      </c>
      <c r="CE97" s="27"/>
      <c r="CF97" s="27"/>
      <c r="CG97" s="27"/>
      <c r="CH97" s="27"/>
      <c r="CI97" s="27"/>
      <c r="CJ97" s="3">
        <v>20714</v>
      </c>
      <c r="CK97" s="3" t="s">
        <v>198</v>
      </c>
      <c r="CL97" s="3">
        <v>4569</v>
      </c>
      <c r="CM97" s="3" t="s">
        <v>161</v>
      </c>
      <c r="CN97" s="3">
        <v>4571</v>
      </c>
      <c r="CO97" s="3" t="s">
        <v>162</v>
      </c>
      <c r="CP97" s="3">
        <v>12345</v>
      </c>
      <c r="CQ97" s="3" t="s">
        <v>163</v>
      </c>
      <c r="CR97" s="246" t="s">
        <v>166</v>
      </c>
      <c r="CS97" s="247" t="s">
        <v>167</v>
      </c>
      <c r="CT97" s="246" t="s">
        <v>199</v>
      </c>
      <c r="CU97" s="247" t="s">
        <v>200</v>
      </c>
      <c r="CV97" s="3" t="str">
        <f t="shared" si="80"/>
        <v>99485;36523</v>
      </c>
      <c r="CW97" s="3" t="s">
        <v>168</v>
      </c>
      <c r="CX97" s="3" t="str">
        <f t="shared" si="81"/>
        <v>;;BB97:BD97;;</v>
      </c>
      <c r="CY97" s="5" t="str">
        <f t="shared" si="82"/>
        <v>Unlock</v>
      </c>
      <c r="CZ97" s="5" t="str">
        <f t="shared" si="83"/>
        <v>Lock</v>
      </c>
      <c r="DA97" s="5" t="str">
        <f t="shared" si="84"/>
        <v>Lock</v>
      </c>
      <c r="DB97" s="5" t="str">
        <f t="shared" si="85"/>
        <v>Lock</v>
      </c>
      <c r="DC97" s="5" t="str">
        <f t="shared" si="86"/>
        <v>Lock</v>
      </c>
      <c r="DD97" s="78">
        <f t="shared" si="87"/>
        <v>2</v>
      </c>
      <c r="DE97" s="2"/>
      <c r="DF97" s="2"/>
      <c r="DG97" s="2"/>
      <c r="DH97" s="2"/>
      <c r="DI97" s="2"/>
      <c r="DJ97" s="2"/>
      <c r="DK97" s="5"/>
      <c r="DL97" s="2"/>
      <c r="DM97" s="2"/>
      <c r="DN97" s="2"/>
      <c r="DO97" s="2"/>
      <c r="DP97" s="2"/>
      <c r="DQ97" s="2"/>
      <c r="DR97" s="2"/>
      <c r="DS97" s="2"/>
      <c r="DT97" s="2"/>
      <c r="DU97" s="2"/>
      <c r="DV97" s="2"/>
      <c r="DW97" s="2"/>
      <c r="DX97" s="2"/>
      <c r="DY97" s="2"/>
      <c r="DZ97" s="2"/>
      <c r="EA97" s="2"/>
      <c r="EB97" s="2"/>
      <c r="EC97" s="2"/>
      <c r="ED97" s="2"/>
      <c r="EE97" s="2"/>
      <c r="EF97" s="1"/>
      <c r="EG97" s="98"/>
      <c r="EH97" s="98"/>
      <c r="EI97" s="1"/>
      <c r="EJ97" s="1"/>
      <c r="EK97" s="98"/>
      <c r="EL97" s="1"/>
    </row>
    <row r="98" spans="1:142">
      <c r="A98" s="32">
        <f t="shared" si="46"/>
        <v>6665</v>
      </c>
      <c r="B98" s="3" t="str">
        <f t="shared" si="47"/>
        <v>sv_statement//Statement//Export Statement&amp;PDFID=Emily Conner_6665&amp;SO=Y</v>
      </c>
      <c r="C98" s="5" t="str">
        <f t="shared" si="88"/>
        <v>Statement</v>
      </c>
      <c r="D98" s="5" t="str">
        <f t="shared" si="48"/>
        <v>Emily Conner_6665</v>
      </c>
      <c r="E98" s="5"/>
      <c r="F98" s="5">
        <v>6665</v>
      </c>
      <c r="G98" s="22" t="s">
        <v>356</v>
      </c>
      <c r="H98" s="5" t="s">
        <v>250</v>
      </c>
      <c r="I98" s="5" t="s">
        <v>357</v>
      </c>
      <c r="J98" s="5" t="s">
        <v>220</v>
      </c>
      <c r="K98" s="5" t="s">
        <v>221</v>
      </c>
      <c r="L98" s="31">
        <f t="shared" si="49"/>
        <v>29269</v>
      </c>
      <c r="M98" s="5" t="s">
        <v>287</v>
      </c>
      <c r="N98" s="22" t="s">
        <v>155</v>
      </c>
      <c r="O98" s="100">
        <v>37515</v>
      </c>
      <c r="P98" s="146">
        <f>VLOOKUP(I98,'Job Codes'!$B$2:$I$120,4,FALSE)</f>
        <v>33000</v>
      </c>
      <c r="Q98" s="146">
        <f>VLOOKUP(I98,'Job Codes'!$B$2:$I$120,5,FALSE)</f>
        <v>42900</v>
      </c>
      <c r="R98" s="146">
        <f>VLOOKUP(I98,'Job Codes'!$B$2:$I$120,6,FALSE)</f>
        <v>51480</v>
      </c>
      <c r="S98" s="22" t="s">
        <v>171</v>
      </c>
      <c r="T98" s="146">
        <v>32323</v>
      </c>
      <c r="U98" s="8">
        <f>VLOOKUP(S98,Data!$H$22:$I$25,2,FALSE)*T98</f>
        <v>32323</v>
      </c>
      <c r="V98" s="180">
        <f t="shared" si="50"/>
        <v>0.7534498834498834</v>
      </c>
      <c r="W98" s="180">
        <f t="shared" si="51"/>
        <v>0.32722828945333043</v>
      </c>
      <c r="X98" s="22" t="str">
        <f t="shared" si="52"/>
        <v>Yes</v>
      </c>
      <c r="Y98" s="180">
        <f t="shared" si="53"/>
        <v>0.02</v>
      </c>
      <c r="Z98" s="146">
        <f t="shared" si="54"/>
        <v>646.46</v>
      </c>
      <c r="AA98" s="146">
        <f t="shared" si="55"/>
        <v>646.46</v>
      </c>
      <c r="AB98" s="72"/>
      <c r="AC98" s="146">
        <f>AB98/VLOOKUP(S98,Data!$H$22:$I$25,2,FALSE)</f>
        <v>0</v>
      </c>
      <c r="AD98" s="22" t="s">
        <v>157</v>
      </c>
      <c r="AE98" s="146">
        <f>VLOOKUP(S98,Data!$H$22:$J$25,3,FALSE)*T98</f>
        <v>969.68999999999994</v>
      </c>
      <c r="AF98" s="8">
        <f>VLOOKUP(S98,Data!$H$22:$I$25,2,FALSE)*AE98</f>
        <v>969.68999999999994</v>
      </c>
      <c r="AG98" s="8" t="s">
        <v>178</v>
      </c>
      <c r="AH98" s="23">
        <v>1.4999999999999999E-2</v>
      </c>
      <c r="AI98" s="72"/>
      <c r="AJ98" s="159">
        <f t="shared" si="56"/>
        <v>1.4999999999999999E-2</v>
      </c>
      <c r="AK98" s="168">
        <f t="shared" si="89"/>
        <v>484.84499999999997</v>
      </c>
      <c r="AL98" s="160">
        <f t="shared" si="90"/>
        <v>484.84499999999997</v>
      </c>
      <c r="AM98" s="168">
        <f t="shared" si="57"/>
        <v>32807.845000000001</v>
      </c>
      <c r="AN98" s="160">
        <f t="shared" si="58"/>
        <v>32807.845000000001</v>
      </c>
      <c r="AO98" s="160" t="str">
        <f t="shared" si="91"/>
        <v>No</v>
      </c>
      <c r="AP98" s="146">
        <f>IF(AQ98=0,0,AQ98/VLOOKUP(S98,Data!$H$22:$I$25,2,FALSE))</f>
        <v>0</v>
      </c>
      <c r="AQ98" s="183">
        <f t="shared" si="59"/>
        <v>0</v>
      </c>
      <c r="AR98" s="165">
        <f t="shared" si="60"/>
        <v>484.84499999999997</v>
      </c>
      <c r="AS98" s="183">
        <f t="shared" si="61"/>
        <v>484.84499999999997</v>
      </c>
      <c r="AT98" s="250">
        <f t="shared" si="62"/>
        <v>1.4999999999999999E-2</v>
      </c>
      <c r="AU98" s="146">
        <f t="shared" si="63"/>
        <v>32807.845000000001</v>
      </c>
      <c r="AV98" s="8">
        <f t="shared" si="64"/>
        <v>32807.845000000001</v>
      </c>
      <c r="AW98" s="8" t="str">
        <f t="shared" si="65"/>
        <v/>
      </c>
      <c r="AX98" s="180">
        <f t="shared" si="66"/>
        <v>0.76475163170163174</v>
      </c>
      <c r="AY98" s="146">
        <f t="shared" si="67"/>
        <v>0</v>
      </c>
      <c r="AZ98" s="146">
        <f t="shared" si="68"/>
        <v>0</v>
      </c>
      <c r="BA98" s="22" t="s">
        <v>159</v>
      </c>
      <c r="BB98" s="149"/>
      <c r="BC98" s="149"/>
      <c r="BD98" s="144"/>
      <c r="BE98" s="146" t="str">
        <f t="shared" si="69"/>
        <v/>
      </c>
      <c r="BF98" s="8" t="str">
        <f t="shared" si="70"/>
        <v/>
      </c>
      <c r="BG98" s="8" t="str">
        <f>IF(LEN(BC98)&gt;0,VLOOKUP(BC98,'Job Codes'!B91:I209,7,FALSE),"")</f>
        <v/>
      </c>
      <c r="BH98" s="192" t="str">
        <f>IF(LEN(BC98)&gt;0,VLOOKUP(BC98,'Job Codes'!B91:I209,8,FALSE),"")</f>
        <v/>
      </c>
      <c r="BI98" s="192" t="str">
        <f>IF(LEN(BC98)&gt;0,VLOOKUP(BC98,'Job Codes'!$B$2:$J$120,9,FALSE),"")</f>
        <v/>
      </c>
      <c r="BJ98" s="146" t="str">
        <f>IF(LEN(BC98)&gt;0,VLOOKUP(BC98,'Job Codes'!$B$2:$I$120,4,FALSE),"")</f>
        <v/>
      </c>
      <c r="BK98" s="146" t="str">
        <f>IF(LEN(BC98)&gt;0,VLOOKUP(BC98,'Job Codes'!$B$2:$I$120,5,FALSE),"")</f>
        <v/>
      </c>
      <c r="BL98" s="146" t="str">
        <f>IF(LEN(BC98)&gt;0,VLOOKUP(BC98,'Job Codes'!$B$2:$I$120,6,FALSE),"")</f>
        <v/>
      </c>
      <c r="BM98" s="168">
        <f t="shared" si="71"/>
        <v>32807.845000000001</v>
      </c>
      <c r="BN98" s="160">
        <f t="shared" si="72"/>
        <v>32807.845000000001</v>
      </c>
      <c r="BO98" s="22" t="s">
        <v>157</v>
      </c>
      <c r="BP98" s="157">
        <f>VLOOKUP(I98,'Job Codes'!$B$2:$I$120,8,FALSE)</f>
        <v>0.1</v>
      </c>
      <c r="BQ98" s="25" t="str">
        <f>IF(O98&gt;Data!$H$33,"Yes","No")</f>
        <v>No</v>
      </c>
      <c r="BR98" s="191">
        <v>0.1</v>
      </c>
      <c r="BS98" s="150">
        <f t="shared" si="73"/>
        <v>3232.3</v>
      </c>
      <c r="BT98" s="25">
        <f t="shared" si="74"/>
        <v>3232.3</v>
      </c>
      <c r="BU98" s="161">
        <v>1</v>
      </c>
      <c r="BV98" s="168">
        <f t="shared" si="75"/>
        <v>3232.3</v>
      </c>
      <c r="BW98" s="160">
        <f t="shared" si="76"/>
        <v>3232.3</v>
      </c>
      <c r="BX98" s="149"/>
      <c r="BY98" s="32">
        <f t="shared" si="77"/>
        <v>0</v>
      </c>
      <c r="BZ98" s="22" t="s">
        <v>157</v>
      </c>
      <c r="CA98" s="231">
        <f>VLOOKUP(I98,'Job Codes'!$B$2:$J$120,9,FALSE)</f>
        <v>0.1</v>
      </c>
      <c r="CB98" s="253">
        <f t="shared" si="78"/>
        <v>3232.3</v>
      </c>
      <c r="CC98" s="72"/>
      <c r="CD98" s="25" t="str">
        <f t="shared" si="79"/>
        <v>Meets</v>
      </c>
      <c r="CE98" s="27"/>
      <c r="CF98" s="27"/>
      <c r="CG98" s="27"/>
      <c r="CH98" s="27"/>
      <c r="CI98" s="27"/>
      <c r="CJ98" s="3">
        <v>29271</v>
      </c>
      <c r="CK98" s="3" t="s">
        <v>255</v>
      </c>
      <c r="CL98" s="3">
        <v>4569</v>
      </c>
      <c r="CM98" s="3" t="s">
        <v>161</v>
      </c>
      <c r="CN98" s="3">
        <v>4571</v>
      </c>
      <c r="CO98" s="3" t="s">
        <v>162</v>
      </c>
      <c r="CP98" s="3">
        <v>12345</v>
      </c>
      <c r="CQ98" s="3" t="s">
        <v>163</v>
      </c>
      <c r="CR98" s="246" t="s">
        <v>164</v>
      </c>
      <c r="CS98" s="5" t="s">
        <v>165</v>
      </c>
      <c r="CT98" s="246" t="s">
        <v>256</v>
      </c>
      <c r="CU98" s="247" t="s">
        <v>257</v>
      </c>
      <c r="CV98" s="3" t="str">
        <f t="shared" si="80"/>
        <v>67890;86672</v>
      </c>
      <c r="CW98" s="3" t="s">
        <v>168</v>
      </c>
      <c r="CX98" s="3" t="str">
        <f t="shared" si="81"/>
        <v>;;BB98:BD98;;</v>
      </c>
      <c r="CY98" s="5" t="str">
        <f t="shared" si="82"/>
        <v>Unlock</v>
      </c>
      <c r="CZ98" s="5" t="str">
        <f t="shared" si="83"/>
        <v>Lock</v>
      </c>
      <c r="DA98" s="5" t="str">
        <f t="shared" si="84"/>
        <v>Lock</v>
      </c>
      <c r="DB98" s="5" t="str">
        <f t="shared" si="85"/>
        <v>Lock</v>
      </c>
      <c r="DC98" s="5" t="str">
        <f t="shared" si="86"/>
        <v>Lock</v>
      </c>
      <c r="DD98" s="78">
        <f t="shared" si="87"/>
        <v>2</v>
      </c>
      <c r="DE98" s="2"/>
      <c r="DF98" s="2"/>
      <c r="DG98" s="2"/>
      <c r="DH98" s="2"/>
      <c r="DI98" s="2"/>
      <c r="DJ98" s="2"/>
      <c r="DK98" s="5"/>
      <c r="DL98" s="2"/>
      <c r="DM98" s="2"/>
      <c r="DN98" s="2"/>
      <c r="DO98" s="2"/>
      <c r="DP98" s="2"/>
      <c r="DQ98" s="2"/>
      <c r="DR98" s="2"/>
      <c r="DS98" s="2"/>
      <c r="DT98" s="2"/>
      <c r="DU98" s="2"/>
      <c r="DV98" s="2"/>
      <c r="DW98" s="2"/>
      <c r="DX98" s="2"/>
      <c r="DY98" s="2"/>
      <c r="DZ98" s="2"/>
      <c r="EA98" s="2"/>
      <c r="EB98" s="2"/>
      <c r="EC98" s="2"/>
      <c r="ED98" s="2"/>
      <c r="EE98" s="2"/>
      <c r="EF98" s="1"/>
      <c r="EG98" s="98"/>
      <c r="EH98" s="98"/>
      <c r="EI98" s="1"/>
      <c r="EJ98" s="1"/>
      <c r="EK98" s="98"/>
      <c r="EL98" s="1"/>
    </row>
    <row r="99" spans="1:142">
      <c r="A99" s="32">
        <f t="shared" si="46"/>
        <v>6686</v>
      </c>
      <c r="B99" s="3" t="str">
        <f t="shared" si="47"/>
        <v>sv_statement//Statement//Export Statement&amp;PDFID=Sean Culpepper_6686&amp;SO=Y</v>
      </c>
      <c r="C99" s="5" t="str">
        <f t="shared" si="88"/>
        <v>Statement</v>
      </c>
      <c r="D99" s="5" t="str">
        <f t="shared" si="48"/>
        <v>Sean Culpepper_6686</v>
      </c>
      <c r="E99" s="5"/>
      <c r="F99" s="5">
        <v>6686</v>
      </c>
      <c r="G99" s="22" t="s">
        <v>358</v>
      </c>
      <c r="H99" s="5" t="s">
        <v>296</v>
      </c>
      <c r="I99" s="5" t="s">
        <v>297</v>
      </c>
      <c r="J99" s="5" t="s">
        <v>220</v>
      </c>
      <c r="K99" s="5" t="s">
        <v>328</v>
      </c>
      <c r="L99" s="31">
        <f t="shared" si="49"/>
        <v>11308</v>
      </c>
      <c r="M99" s="5" t="s">
        <v>154</v>
      </c>
      <c r="N99" s="22" t="s">
        <v>155</v>
      </c>
      <c r="O99" s="100">
        <v>37832</v>
      </c>
      <c r="P99" s="146">
        <f>VLOOKUP(I99,'Job Codes'!$B$2:$I$120,4,FALSE)</f>
        <v>37000</v>
      </c>
      <c r="Q99" s="146">
        <f>VLOOKUP(I99,'Job Codes'!$B$2:$I$120,5,FALSE)</f>
        <v>48100</v>
      </c>
      <c r="R99" s="146">
        <f>VLOOKUP(I99,'Job Codes'!$B$2:$I$120,6,FALSE)</f>
        <v>57720</v>
      </c>
      <c r="S99" s="22" t="s">
        <v>171</v>
      </c>
      <c r="T99" s="146">
        <v>30451</v>
      </c>
      <c r="U99" s="8">
        <f>VLOOKUP(S99,Data!$H$22:$I$25,2,FALSE)*T99</f>
        <v>30451</v>
      </c>
      <c r="V99" s="180">
        <f t="shared" si="50"/>
        <v>0.63307692307692309</v>
      </c>
      <c r="W99" s="180">
        <f t="shared" si="51"/>
        <v>0.57958687727825031</v>
      </c>
      <c r="X99" s="22" t="str">
        <f t="shared" si="52"/>
        <v>Yes</v>
      </c>
      <c r="Y99" s="180">
        <f t="shared" si="53"/>
        <v>0.02</v>
      </c>
      <c r="Z99" s="146">
        <f t="shared" si="54"/>
        <v>609.02</v>
      </c>
      <c r="AA99" s="146">
        <f t="shared" si="55"/>
        <v>609.02</v>
      </c>
      <c r="AB99" s="72"/>
      <c r="AC99" s="146">
        <f>AB99/VLOOKUP(S99,Data!$H$22:$I$25,2,FALSE)</f>
        <v>0</v>
      </c>
      <c r="AD99" s="22" t="s">
        <v>157</v>
      </c>
      <c r="AE99" s="146">
        <f>VLOOKUP(S99,Data!$H$22:$J$25,3,FALSE)*T99</f>
        <v>913.53</v>
      </c>
      <c r="AF99" s="8">
        <f>VLOOKUP(S99,Data!$H$22:$I$25,2,FALSE)*AE99</f>
        <v>913.53</v>
      </c>
      <c r="AG99" s="8" t="s">
        <v>178</v>
      </c>
      <c r="AH99" s="23">
        <v>2.5000000000000001E-2</v>
      </c>
      <c r="AI99" s="72"/>
      <c r="AJ99" s="159">
        <f t="shared" si="56"/>
        <v>2.5000000000000001E-2</v>
      </c>
      <c r="AK99" s="168">
        <f t="shared" si="89"/>
        <v>761.27500000000009</v>
      </c>
      <c r="AL99" s="160">
        <f t="shared" si="90"/>
        <v>761.27500000000009</v>
      </c>
      <c r="AM99" s="168">
        <f t="shared" si="57"/>
        <v>31212.275000000001</v>
      </c>
      <c r="AN99" s="160">
        <f t="shared" si="58"/>
        <v>31212.275000000001</v>
      </c>
      <c r="AO99" s="160" t="str">
        <f t="shared" si="91"/>
        <v>No</v>
      </c>
      <c r="AP99" s="146">
        <f>IF(AQ99=0,0,AQ99/VLOOKUP(S99,Data!$H$22:$I$25,2,FALSE))</f>
        <v>0</v>
      </c>
      <c r="AQ99" s="183">
        <f t="shared" si="59"/>
        <v>0</v>
      </c>
      <c r="AR99" s="165">
        <f t="shared" si="60"/>
        <v>761.27500000000009</v>
      </c>
      <c r="AS99" s="183">
        <f t="shared" si="61"/>
        <v>761.27500000000009</v>
      </c>
      <c r="AT99" s="250">
        <f t="shared" si="62"/>
        <v>2.5000000000000001E-2</v>
      </c>
      <c r="AU99" s="146">
        <f t="shared" si="63"/>
        <v>31212.275000000001</v>
      </c>
      <c r="AV99" s="8">
        <f t="shared" si="64"/>
        <v>31212.275000000001</v>
      </c>
      <c r="AW99" s="8" t="str">
        <f t="shared" si="65"/>
        <v/>
      </c>
      <c r="AX99" s="180">
        <f t="shared" si="66"/>
        <v>0.64890384615384622</v>
      </c>
      <c r="AY99" s="146">
        <f t="shared" si="67"/>
        <v>0</v>
      </c>
      <c r="AZ99" s="146">
        <f t="shared" si="68"/>
        <v>0</v>
      </c>
      <c r="BA99" s="22" t="s">
        <v>159</v>
      </c>
      <c r="BB99" s="149"/>
      <c r="BC99" s="149"/>
      <c r="BD99" s="144"/>
      <c r="BE99" s="146" t="str">
        <f t="shared" si="69"/>
        <v/>
      </c>
      <c r="BF99" s="8" t="str">
        <f t="shared" si="70"/>
        <v/>
      </c>
      <c r="BG99" s="8" t="str">
        <f>IF(LEN(BC99)&gt;0,VLOOKUP(BC99,'Job Codes'!B92:I210,7,FALSE),"")</f>
        <v/>
      </c>
      <c r="BH99" s="192" t="str">
        <f>IF(LEN(BC99)&gt;0,VLOOKUP(BC99,'Job Codes'!B92:I210,8,FALSE),"")</f>
        <v/>
      </c>
      <c r="BI99" s="192" t="str">
        <f>IF(LEN(BC99)&gt;0,VLOOKUP(BC99,'Job Codes'!$B$2:$J$120,9,FALSE),"")</f>
        <v/>
      </c>
      <c r="BJ99" s="146" t="str">
        <f>IF(LEN(BC99)&gt;0,VLOOKUP(BC99,'Job Codes'!$B$2:$I$120,4,FALSE),"")</f>
        <v/>
      </c>
      <c r="BK99" s="146" t="str">
        <f>IF(LEN(BC99)&gt;0,VLOOKUP(BC99,'Job Codes'!$B$2:$I$120,5,FALSE),"")</f>
        <v/>
      </c>
      <c r="BL99" s="146" t="str">
        <f>IF(LEN(BC99)&gt;0,VLOOKUP(BC99,'Job Codes'!$B$2:$I$120,6,FALSE),"")</f>
        <v/>
      </c>
      <c r="BM99" s="168">
        <f t="shared" si="71"/>
        <v>31212.275000000001</v>
      </c>
      <c r="BN99" s="160">
        <f t="shared" si="72"/>
        <v>31212.275000000001</v>
      </c>
      <c r="BO99" s="22" t="s">
        <v>157</v>
      </c>
      <c r="BP99" s="157">
        <f>VLOOKUP(I99,'Job Codes'!$B$2:$I$120,8,FALSE)</f>
        <v>0.15</v>
      </c>
      <c r="BQ99" s="25" t="str">
        <f>IF(O99&gt;Data!$H$33,"Yes","No")</f>
        <v>No</v>
      </c>
      <c r="BR99" s="191">
        <v>0.15</v>
      </c>
      <c r="BS99" s="150">
        <f t="shared" si="73"/>
        <v>4567.6499999999996</v>
      </c>
      <c r="BT99" s="25">
        <f t="shared" si="74"/>
        <v>4567.6499999999996</v>
      </c>
      <c r="BU99" s="161">
        <v>1</v>
      </c>
      <c r="BV99" s="168">
        <f t="shared" si="75"/>
        <v>4567.6499999999996</v>
      </c>
      <c r="BW99" s="160">
        <f t="shared" si="76"/>
        <v>4567.6499999999996</v>
      </c>
      <c r="BX99" s="149"/>
      <c r="BY99" s="32">
        <f t="shared" si="77"/>
        <v>0</v>
      </c>
      <c r="BZ99" s="22" t="s">
        <v>157</v>
      </c>
      <c r="CA99" s="231">
        <f>VLOOKUP(I99,'Job Codes'!$B$2:$J$120,9,FALSE)</f>
        <v>0.15</v>
      </c>
      <c r="CB99" s="253">
        <f t="shared" si="78"/>
        <v>4567.6499999999996</v>
      </c>
      <c r="CC99" s="72"/>
      <c r="CD99" s="25" t="str">
        <f t="shared" si="79"/>
        <v>Meets</v>
      </c>
      <c r="CE99" s="27"/>
      <c r="CF99" s="27"/>
      <c r="CG99" s="27"/>
      <c r="CH99" s="27"/>
      <c r="CI99" s="27"/>
      <c r="CJ99" s="3"/>
      <c r="CK99" s="3"/>
      <c r="CL99" s="3">
        <v>4569</v>
      </c>
      <c r="CM99" s="3" t="s">
        <v>161</v>
      </c>
      <c r="CN99" s="3">
        <v>4571</v>
      </c>
      <c r="CO99" s="3" t="s">
        <v>162</v>
      </c>
      <c r="CP99" s="3">
        <v>12345</v>
      </c>
      <c r="CQ99" s="3" t="s">
        <v>163</v>
      </c>
      <c r="CR99" s="246" t="s">
        <v>164</v>
      </c>
      <c r="CS99" s="247" t="s">
        <v>165</v>
      </c>
      <c r="CT99" s="246" t="s">
        <v>166</v>
      </c>
      <c r="CU99" s="247" t="s">
        <v>167</v>
      </c>
      <c r="CV99" s="3" t="str">
        <f t="shared" si="80"/>
        <v>67890;99485</v>
      </c>
      <c r="CW99" s="3" t="s">
        <v>168</v>
      </c>
      <c r="CX99" s="3" t="str">
        <f t="shared" si="81"/>
        <v>;;BB99:BD99;;</v>
      </c>
      <c r="CY99" s="5" t="str">
        <f t="shared" si="82"/>
        <v>Unlock</v>
      </c>
      <c r="CZ99" s="5" t="str">
        <f t="shared" si="83"/>
        <v>Lock</v>
      </c>
      <c r="DA99" s="5" t="str">
        <f t="shared" si="84"/>
        <v>Lock</v>
      </c>
      <c r="DB99" s="5" t="str">
        <f t="shared" si="85"/>
        <v>Lock</v>
      </c>
      <c r="DC99" s="5" t="str">
        <f t="shared" si="86"/>
        <v>Lock</v>
      </c>
      <c r="DD99" s="78">
        <f t="shared" si="87"/>
        <v>3</v>
      </c>
      <c r="DE99" s="2"/>
      <c r="DF99" s="2"/>
      <c r="DG99" s="2"/>
      <c r="DH99" s="2"/>
      <c r="DI99" s="2"/>
      <c r="DJ99" s="2"/>
      <c r="DK99" s="5"/>
      <c r="DL99" s="2"/>
      <c r="DM99" s="2"/>
      <c r="DN99" s="2"/>
      <c r="DO99" s="2"/>
      <c r="DP99" s="2"/>
      <c r="DQ99" s="2"/>
      <c r="DR99" s="2"/>
      <c r="DS99" s="2"/>
      <c r="DT99" s="2"/>
      <c r="DU99" s="2"/>
      <c r="DV99" s="2"/>
      <c r="DW99" s="2"/>
      <c r="DX99" s="2"/>
      <c r="DY99" s="2"/>
      <c r="DZ99" s="2"/>
      <c r="EA99" s="2"/>
      <c r="EB99" s="2"/>
      <c r="EC99" s="2"/>
      <c r="ED99" s="2"/>
      <c r="EE99" s="2"/>
      <c r="EF99" s="1"/>
      <c r="EG99" s="98"/>
      <c r="EH99" s="98"/>
      <c r="EI99" s="1"/>
      <c r="EJ99" s="1"/>
      <c r="EK99" s="98"/>
      <c r="EL99" s="1"/>
    </row>
    <row r="100" spans="1:142">
      <c r="A100" s="32">
        <f t="shared" si="46"/>
        <v>6701</v>
      </c>
      <c r="B100" s="3" t="str">
        <f t="shared" si="47"/>
        <v>sv_statement//Statement//Export Statement&amp;PDFID=Eva Hoch_6701&amp;SO=Y</v>
      </c>
      <c r="C100" s="5" t="str">
        <f t="shared" si="88"/>
        <v>Statement</v>
      </c>
      <c r="D100" s="5" t="str">
        <f t="shared" si="48"/>
        <v>Eva Hoch_6701</v>
      </c>
      <c r="E100" s="5"/>
      <c r="F100" s="5">
        <v>6701</v>
      </c>
      <c r="G100" s="22" t="s">
        <v>359</v>
      </c>
      <c r="H100" s="5" t="s">
        <v>250</v>
      </c>
      <c r="I100" s="5" t="s">
        <v>324</v>
      </c>
      <c r="J100" s="5" t="s">
        <v>220</v>
      </c>
      <c r="K100" s="5" t="s">
        <v>328</v>
      </c>
      <c r="L100" s="31">
        <f t="shared" si="49"/>
        <v>29271</v>
      </c>
      <c r="M100" s="5" t="s">
        <v>255</v>
      </c>
      <c r="N100" s="22" t="s">
        <v>155</v>
      </c>
      <c r="O100" s="100">
        <v>37837</v>
      </c>
      <c r="P100" s="146">
        <f>VLOOKUP(I100,'Job Codes'!$B$2:$I$120,4,FALSE)</f>
        <v>33000</v>
      </c>
      <c r="Q100" s="146">
        <f>VLOOKUP(I100,'Job Codes'!$B$2:$I$120,5,FALSE)</f>
        <v>42900</v>
      </c>
      <c r="R100" s="146">
        <f>VLOOKUP(I100,'Job Codes'!$B$2:$I$120,6,FALSE)</f>
        <v>51480</v>
      </c>
      <c r="S100" s="22" t="s">
        <v>171</v>
      </c>
      <c r="T100" s="146">
        <v>29827</v>
      </c>
      <c r="U100" s="8">
        <f>VLOOKUP(S100,Data!$H$22:$I$25,2,FALSE)*T100</f>
        <v>29827</v>
      </c>
      <c r="V100" s="180">
        <f t="shared" si="50"/>
        <v>0.69526806526806528</v>
      </c>
      <c r="W100" s="180">
        <f t="shared" si="51"/>
        <v>0.43829416300667179</v>
      </c>
      <c r="X100" s="22" t="str">
        <f t="shared" si="52"/>
        <v>Yes</v>
      </c>
      <c r="Y100" s="180">
        <f t="shared" si="53"/>
        <v>0.02</v>
      </c>
      <c r="Z100" s="146">
        <f t="shared" si="54"/>
        <v>596.54</v>
      </c>
      <c r="AA100" s="146">
        <f t="shared" si="55"/>
        <v>596.54</v>
      </c>
      <c r="AB100" s="72"/>
      <c r="AC100" s="146">
        <f>AB100/VLOOKUP(S100,Data!$H$22:$I$25,2,FALSE)</f>
        <v>0</v>
      </c>
      <c r="AD100" s="22" t="s">
        <v>157</v>
      </c>
      <c r="AE100" s="146">
        <f>VLOOKUP(S100,Data!$H$22:$J$25,3,FALSE)*T100</f>
        <v>894.81</v>
      </c>
      <c r="AF100" s="8">
        <f>VLOOKUP(S100,Data!$H$22:$I$25,2,FALSE)*AE100</f>
        <v>894.81</v>
      </c>
      <c r="AG100" s="8" t="s">
        <v>158</v>
      </c>
      <c r="AH100" s="23">
        <v>0.04</v>
      </c>
      <c r="AI100" s="72"/>
      <c r="AJ100" s="159">
        <f t="shared" si="56"/>
        <v>0.04</v>
      </c>
      <c r="AK100" s="168">
        <f t="shared" si="89"/>
        <v>1193.08</v>
      </c>
      <c r="AL100" s="160">
        <f t="shared" si="90"/>
        <v>1193.08</v>
      </c>
      <c r="AM100" s="168">
        <f t="shared" si="57"/>
        <v>31020.080000000002</v>
      </c>
      <c r="AN100" s="160">
        <f t="shared" si="58"/>
        <v>31020.080000000002</v>
      </c>
      <c r="AO100" s="160" t="str">
        <f t="shared" si="91"/>
        <v>No</v>
      </c>
      <c r="AP100" s="146">
        <f>IF(AQ100=0,0,AQ100/VLOOKUP(S100,Data!$H$22:$I$25,2,FALSE))</f>
        <v>0</v>
      </c>
      <c r="AQ100" s="183">
        <f t="shared" si="59"/>
        <v>0</v>
      </c>
      <c r="AR100" s="165">
        <f t="shared" si="60"/>
        <v>1193.08</v>
      </c>
      <c r="AS100" s="183">
        <f t="shared" si="61"/>
        <v>1193.08</v>
      </c>
      <c r="AT100" s="250">
        <f t="shared" si="62"/>
        <v>0.04</v>
      </c>
      <c r="AU100" s="146">
        <f t="shared" si="63"/>
        <v>31020.080000000002</v>
      </c>
      <c r="AV100" s="8">
        <f t="shared" si="64"/>
        <v>31020.080000000002</v>
      </c>
      <c r="AW100" s="8" t="str">
        <f t="shared" si="65"/>
        <v/>
      </c>
      <c r="AX100" s="180">
        <f t="shared" si="66"/>
        <v>0.72307878787878788</v>
      </c>
      <c r="AY100" s="146">
        <f t="shared" si="67"/>
        <v>0</v>
      </c>
      <c r="AZ100" s="146">
        <f t="shared" si="68"/>
        <v>0</v>
      </c>
      <c r="BA100" s="22" t="s">
        <v>159</v>
      </c>
      <c r="BB100" s="149"/>
      <c r="BC100" s="149"/>
      <c r="BD100" s="144"/>
      <c r="BE100" s="146" t="str">
        <f t="shared" si="69"/>
        <v/>
      </c>
      <c r="BF100" s="8" t="str">
        <f t="shared" si="70"/>
        <v/>
      </c>
      <c r="BG100" s="8" t="str">
        <f>IF(LEN(BC100)&gt;0,VLOOKUP(BC100,'Job Codes'!B93:I211,7,FALSE),"")</f>
        <v/>
      </c>
      <c r="BH100" s="192" t="str">
        <f>IF(LEN(BC100)&gt;0,VLOOKUP(BC100,'Job Codes'!B93:I211,8,FALSE),"")</f>
        <v/>
      </c>
      <c r="BI100" s="192" t="str">
        <f>IF(LEN(BC100)&gt;0,VLOOKUP(BC100,'Job Codes'!$B$2:$J$120,9,FALSE),"")</f>
        <v/>
      </c>
      <c r="BJ100" s="146" t="str">
        <f>IF(LEN(BC100)&gt;0,VLOOKUP(BC100,'Job Codes'!$B$2:$I$120,4,FALSE),"")</f>
        <v/>
      </c>
      <c r="BK100" s="146" t="str">
        <f>IF(LEN(BC100)&gt;0,VLOOKUP(BC100,'Job Codes'!$B$2:$I$120,5,FALSE),"")</f>
        <v/>
      </c>
      <c r="BL100" s="146" t="str">
        <f>IF(LEN(BC100)&gt;0,VLOOKUP(BC100,'Job Codes'!$B$2:$I$120,6,FALSE),"")</f>
        <v/>
      </c>
      <c r="BM100" s="168">
        <f t="shared" si="71"/>
        <v>31020.080000000002</v>
      </c>
      <c r="BN100" s="160">
        <f t="shared" si="72"/>
        <v>31020.080000000002</v>
      </c>
      <c r="BO100" s="22" t="s">
        <v>157</v>
      </c>
      <c r="BP100" s="157">
        <f>VLOOKUP(I100,'Job Codes'!$B$2:$I$120,8,FALSE)</f>
        <v>0.1</v>
      </c>
      <c r="BQ100" s="25" t="str">
        <f>IF(O100&gt;Data!$H$33,"Yes","No")</f>
        <v>No</v>
      </c>
      <c r="BR100" s="191">
        <v>0.1</v>
      </c>
      <c r="BS100" s="150">
        <f t="shared" si="73"/>
        <v>2982.7000000000003</v>
      </c>
      <c r="BT100" s="25">
        <f t="shared" si="74"/>
        <v>2982.7000000000003</v>
      </c>
      <c r="BU100" s="161">
        <v>1</v>
      </c>
      <c r="BV100" s="168">
        <f t="shared" si="75"/>
        <v>2982.7000000000003</v>
      </c>
      <c r="BW100" s="160">
        <f t="shared" si="76"/>
        <v>2982.7000000000003</v>
      </c>
      <c r="BX100" s="149"/>
      <c r="BY100" s="32">
        <f t="shared" si="77"/>
        <v>0</v>
      </c>
      <c r="BZ100" s="22" t="s">
        <v>157</v>
      </c>
      <c r="CA100" s="231">
        <f>VLOOKUP(I100,'Job Codes'!$B$2:$J$120,9,FALSE)</f>
        <v>0.1</v>
      </c>
      <c r="CB100" s="253">
        <f t="shared" si="78"/>
        <v>2982.7000000000003</v>
      </c>
      <c r="CC100" s="72"/>
      <c r="CD100" s="25" t="str">
        <f t="shared" si="79"/>
        <v>Exceeds</v>
      </c>
      <c r="CE100" s="27"/>
      <c r="CF100" s="27"/>
      <c r="CG100" s="27"/>
      <c r="CH100" s="27"/>
      <c r="CI100" s="27"/>
      <c r="CJ100" s="3"/>
      <c r="CK100" s="3"/>
      <c r="CL100" s="3"/>
      <c r="CM100" s="3"/>
      <c r="CN100" s="3">
        <v>4571</v>
      </c>
      <c r="CO100" s="3" t="s">
        <v>162</v>
      </c>
      <c r="CP100" s="3">
        <v>12345</v>
      </c>
      <c r="CQ100" s="3" t="s">
        <v>163</v>
      </c>
      <c r="CR100" s="246" t="s">
        <v>256</v>
      </c>
      <c r="CS100" s="247" t="s">
        <v>257</v>
      </c>
      <c r="CT100" s="246" t="s">
        <v>199</v>
      </c>
      <c r="CU100" s="247" t="s">
        <v>200</v>
      </c>
      <c r="CV100" s="3" t="str">
        <f t="shared" si="80"/>
        <v>86672;36523</v>
      </c>
      <c r="CW100" s="3" t="s">
        <v>168</v>
      </c>
      <c r="CX100" s="3" t="str">
        <f t="shared" si="81"/>
        <v>;;BB100:BD100;;</v>
      </c>
      <c r="CY100" s="5" t="str">
        <f t="shared" si="82"/>
        <v>Unlock</v>
      </c>
      <c r="CZ100" s="5" t="str">
        <f t="shared" si="83"/>
        <v>Lock</v>
      </c>
      <c r="DA100" s="5" t="str">
        <f t="shared" si="84"/>
        <v>Lock</v>
      </c>
      <c r="DB100" s="5" t="str">
        <f t="shared" si="85"/>
        <v>Lock</v>
      </c>
      <c r="DC100" s="5" t="str">
        <f t="shared" si="86"/>
        <v>Lock</v>
      </c>
      <c r="DD100" s="78">
        <f t="shared" si="87"/>
        <v>4</v>
      </c>
      <c r="DE100" s="2"/>
      <c r="DF100" s="2"/>
      <c r="DG100" s="2"/>
      <c r="DH100" s="2"/>
      <c r="DI100" s="2"/>
      <c r="DJ100" s="2"/>
      <c r="DK100" s="5"/>
      <c r="DL100" s="2"/>
      <c r="DM100" s="2"/>
      <c r="DN100" s="2"/>
      <c r="DO100" s="2"/>
      <c r="DP100" s="2"/>
      <c r="DQ100" s="2"/>
      <c r="DR100" s="2"/>
      <c r="DS100" s="2"/>
      <c r="DT100" s="2"/>
      <c r="DU100" s="2"/>
      <c r="DV100" s="2"/>
      <c r="DW100" s="2"/>
      <c r="DX100" s="2"/>
      <c r="DY100" s="2"/>
      <c r="DZ100" s="2"/>
      <c r="EA100" s="2"/>
      <c r="EB100" s="2"/>
      <c r="EC100" s="2"/>
      <c r="ED100" s="2"/>
      <c r="EE100" s="2"/>
      <c r="EF100" s="1"/>
      <c r="EG100" s="98"/>
      <c r="EH100" s="98"/>
      <c r="EI100" s="1"/>
      <c r="EJ100" s="1"/>
      <c r="EK100" s="98"/>
      <c r="EL100" s="1"/>
    </row>
    <row r="101" spans="1:142">
      <c r="A101" s="32">
        <f t="shared" si="46"/>
        <v>6729</v>
      </c>
      <c r="B101" s="3" t="str">
        <f t="shared" si="47"/>
        <v>sv_statement//Statement//Export Statement&amp;PDFID=Richard Delong_6729&amp;SO=Y</v>
      </c>
      <c r="C101" s="5" t="str">
        <f t="shared" si="88"/>
        <v>Statement</v>
      </c>
      <c r="D101" s="5" t="str">
        <f t="shared" si="48"/>
        <v>Richard Delong_6729</v>
      </c>
      <c r="E101" s="5"/>
      <c r="F101" s="5">
        <v>6729</v>
      </c>
      <c r="G101" s="22" t="s">
        <v>360</v>
      </c>
      <c r="H101" s="5" t="s">
        <v>250</v>
      </c>
      <c r="I101" s="5" t="s">
        <v>361</v>
      </c>
      <c r="J101" s="5" t="s">
        <v>220</v>
      </c>
      <c r="K101" s="5" t="s">
        <v>328</v>
      </c>
      <c r="L101" s="31">
        <f t="shared" si="49"/>
        <v>29271</v>
      </c>
      <c r="M101" s="5" t="s">
        <v>255</v>
      </c>
      <c r="N101" s="22" t="s">
        <v>155</v>
      </c>
      <c r="O101" s="100">
        <v>37845</v>
      </c>
      <c r="P101" s="146">
        <f>VLOOKUP(I101,'Job Codes'!$B$2:$I$120,4,FALSE)</f>
        <v>33000</v>
      </c>
      <c r="Q101" s="146">
        <f>VLOOKUP(I101,'Job Codes'!$B$2:$I$120,5,FALSE)</f>
        <v>42900</v>
      </c>
      <c r="R101" s="146">
        <f>VLOOKUP(I101,'Job Codes'!$B$2:$I$120,6,FALSE)</f>
        <v>51480</v>
      </c>
      <c r="S101" s="22" t="s">
        <v>171</v>
      </c>
      <c r="T101" s="146">
        <v>29910</v>
      </c>
      <c r="U101" s="8">
        <f>VLOOKUP(S101,Data!$H$22:$I$25,2,FALSE)*T101</f>
        <v>29910</v>
      </c>
      <c r="V101" s="180">
        <f t="shared" si="50"/>
        <v>0.69720279720279721</v>
      </c>
      <c r="W101" s="180">
        <f t="shared" si="51"/>
        <v>0.43430290872617855</v>
      </c>
      <c r="X101" s="22" t="str">
        <f t="shared" si="52"/>
        <v>Yes</v>
      </c>
      <c r="Y101" s="180">
        <f t="shared" si="53"/>
        <v>0.02</v>
      </c>
      <c r="Z101" s="146">
        <f t="shared" si="54"/>
        <v>598.20000000000005</v>
      </c>
      <c r="AA101" s="146">
        <f t="shared" si="55"/>
        <v>598.20000000000005</v>
      </c>
      <c r="AB101" s="72"/>
      <c r="AC101" s="146">
        <f>AB101/VLOOKUP(S101,Data!$H$22:$I$25,2,FALSE)</f>
        <v>0</v>
      </c>
      <c r="AD101" s="22" t="s">
        <v>157</v>
      </c>
      <c r="AE101" s="146">
        <f>VLOOKUP(S101,Data!$H$22:$J$25,3,FALSE)*T101</f>
        <v>897.3</v>
      </c>
      <c r="AF101" s="8">
        <f>VLOOKUP(S101,Data!$H$22:$I$25,2,FALSE)*AE101</f>
        <v>897.3</v>
      </c>
      <c r="AG101" s="8" t="s">
        <v>172</v>
      </c>
      <c r="AH101" s="23">
        <v>0</v>
      </c>
      <c r="AI101" s="72"/>
      <c r="AJ101" s="159">
        <f t="shared" si="56"/>
        <v>0</v>
      </c>
      <c r="AK101" s="168">
        <f t="shared" si="89"/>
        <v>0</v>
      </c>
      <c r="AL101" s="160">
        <f t="shared" si="90"/>
        <v>0</v>
      </c>
      <c r="AM101" s="168">
        <f t="shared" si="57"/>
        <v>29910</v>
      </c>
      <c r="AN101" s="160">
        <f t="shared" si="58"/>
        <v>29910</v>
      </c>
      <c r="AO101" s="160" t="str">
        <f t="shared" si="91"/>
        <v>No</v>
      </c>
      <c r="AP101" s="146">
        <f>IF(AQ101=0,0,AQ101/VLOOKUP(S101,Data!$H$22:$I$25,2,FALSE))</f>
        <v>0</v>
      </c>
      <c r="AQ101" s="183">
        <f t="shared" si="59"/>
        <v>0</v>
      </c>
      <c r="AR101" s="165">
        <f t="shared" si="60"/>
        <v>0</v>
      </c>
      <c r="AS101" s="183">
        <f t="shared" si="61"/>
        <v>0</v>
      </c>
      <c r="AT101" s="250">
        <f t="shared" si="62"/>
        <v>0</v>
      </c>
      <c r="AU101" s="146">
        <f t="shared" si="63"/>
        <v>29910</v>
      </c>
      <c r="AV101" s="8">
        <f t="shared" si="64"/>
        <v>29910</v>
      </c>
      <c r="AW101" s="8" t="str">
        <f t="shared" si="65"/>
        <v/>
      </c>
      <c r="AX101" s="180">
        <f t="shared" si="66"/>
        <v>0.69720279720279721</v>
      </c>
      <c r="AY101" s="146">
        <f t="shared" si="67"/>
        <v>0</v>
      </c>
      <c r="AZ101" s="146">
        <f t="shared" si="68"/>
        <v>0</v>
      </c>
      <c r="BA101" s="22" t="s">
        <v>159</v>
      </c>
      <c r="BB101" s="149"/>
      <c r="BC101" s="149"/>
      <c r="BD101" s="144"/>
      <c r="BE101" s="146" t="str">
        <f t="shared" si="69"/>
        <v/>
      </c>
      <c r="BF101" s="8" t="str">
        <f t="shared" si="70"/>
        <v/>
      </c>
      <c r="BG101" s="8" t="str">
        <f>IF(LEN(BC101)&gt;0,VLOOKUP(BC101,'Job Codes'!B94:I212,7,FALSE),"")</f>
        <v/>
      </c>
      <c r="BH101" s="192" t="str">
        <f>IF(LEN(BC101)&gt;0,VLOOKUP(BC101,'Job Codes'!B94:I212,8,FALSE),"")</f>
        <v/>
      </c>
      <c r="BI101" s="192" t="str">
        <f>IF(LEN(BC101)&gt;0,VLOOKUP(BC101,'Job Codes'!$B$2:$J$120,9,FALSE),"")</f>
        <v/>
      </c>
      <c r="BJ101" s="146" t="str">
        <f>IF(LEN(BC101)&gt;0,VLOOKUP(BC101,'Job Codes'!$B$2:$I$120,4,FALSE),"")</f>
        <v/>
      </c>
      <c r="BK101" s="146" t="str">
        <f>IF(LEN(BC101)&gt;0,VLOOKUP(BC101,'Job Codes'!$B$2:$I$120,5,FALSE),"")</f>
        <v/>
      </c>
      <c r="BL101" s="146" t="str">
        <f>IF(LEN(BC101)&gt;0,VLOOKUP(BC101,'Job Codes'!$B$2:$I$120,6,FALSE),"")</f>
        <v/>
      </c>
      <c r="BM101" s="168">
        <f t="shared" si="71"/>
        <v>29910</v>
      </c>
      <c r="BN101" s="160">
        <f t="shared" si="72"/>
        <v>29910</v>
      </c>
      <c r="BO101" s="22" t="s">
        <v>157</v>
      </c>
      <c r="BP101" s="157">
        <f>VLOOKUP(I101,'Job Codes'!$B$2:$I$120,8,FALSE)</f>
        <v>0.1</v>
      </c>
      <c r="BQ101" s="25" t="str">
        <f>IF(O101&gt;Data!$H$33,"Yes","No")</f>
        <v>No</v>
      </c>
      <c r="BR101" s="191">
        <v>0.1</v>
      </c>
      <c r="BS101" s="150">
        <f t="shared" si="73"/>
        <v>2991</v>
      </c>
      <c r="BT101" s="25">
        <f t="shared" si="74"/>
        <v>2991</v>
      </c>
      <c r="BU101" s="161">
        <v>1</v>
      </c>
      <c r="BV101" s="168">
        <f t="shared" si="75"/>
        <v>2991</v>
      </c>
      <c r="BW101" s="160">
        <f t="shared" si="76"/>
        <v>2991</v>
      </c>
      <c r="BX101" s="149"/>
      <c r="BY101" s="32">
        <f t="shared" si="77"/>
        <v>0</v>
      </c>
      <c r="BZ101" s="22" t="s">
        <v>157</v>
      </c>
      <c r="CA101" s="231">
        <f>VLOOKUP(I101,'Job Codes'!$B$2:$J$120,9,FALSE)</f>
        <v>0.1</v>
      </c>
      <c r="CB101" s="253">
        <f t="shared" si="78"/>
        <v>2991</v>
      </c>
      <c r="CC101" s="72"/>
      <c r="CD101" s="25" t="str">
        <f t="shared" si="79"/>
        <v>Below</v>
      </c>
      <c r="CE101" s="27"/>
      <c r="CF101" s="27"/>
      <c r="CG101" s="27"/>
      <c r="CH101" s="27"/>
      <c r="CI101" s="27"/>
      <c r="CJ101" s="3"/>
      <c r="CK101" s="3"/>
      <c r="CL101" s="3"/>
      <c r="CM101" s="3"/>
      <c r="CN101" s="3">
        <v>4571</v>
      </c>
      <c r="CO101" s="3" t="s">
        <v>162</v>
      </c>
      <c r="CP101" s="3">
        <v>12345</v>
      </c>
      <c r="CQ101" s="3" t="s">
        <v>163</v>
      </c>
      <c r="CR101" s="246" t="s">
        <v>256</v>
      </c>
      <c r="CS101" s="247" t="s">
        <v>257</v>
      </c>
      <c r="CT101" s="246" t="s">
        <v>199</v>
      </c>
      <c r="CU101" s="247" t="s">
        <v>200</v>
      </c>
      <c r="CV101" s="3" t="str">
        <f t="shared" si="80"/>
        <v>86672;36523</v>
      </c>
      <c r="CW101" s="3" t="s">
        <v>168</v>
      </c>
      <c r="CX101" s="3" t="str">
        <f t="shared" si="81"/>
        <v>;;BB101:BD101;;</v>
      </c>
      <c r="CY101" s="5" t="str">
        <f t="shared" si="82"/>
        <v>Unlock</v>
      </c>
      <c r="CZ101" s="5" t="str">
        <f t="shared" si="83"/>
        <v>Lock</v>
      </c>
      <c r="DA101" s="5" t="str">
        <f t="shared" si="84"/>
        <v>Lock</v>
      </c>
      <c r="DB101" s="5" t="str">
        <f t="shared" si="85"/>
        <v>Lock</v>
      </c>
      <c r="DC101" s="5" t="str">
        <f t="shared" si="86"/>
        <v>Lock</v>
      </c>
      <c r="DD101" s="78">
        <f t="shared" si="87"/>
        <v>4</v>
      </c>
      <c r="DE101" s="2"/>
      <c r="DF101" s="2"/>
      <c r="DG101" s="2"/>
      <c r="DH101" s="2"/>
      <c r="DI101" s="2"/>
      <c r="DJ101" s="2"/>
      <c r="DK101" s="5"/>
      <c r="DL101" s="2"/>
      <c r="DM101" s="2"/>
      <c r="DN101" s="2"/>
      <c r="DO101" s="2"/>
      <c r="DP101" s="2"/>
      <c r="DQ101" s="2"/>
      <c r="DR101" s="2"/>
      <c r="DS101" s="2"/>
      <c r="DT101" s="2"/>
      <c r="DU101" s="2"/>
      <c r="DV101" s="2"/>
      <c r="DW101" s="2"/>
      <c r="DX101" s="2"/>
      <c r="DY101" s="2"/>
      <c r="DZ101" s="2"/>
      <c r="EA101" s="2"/>
      <c r="EB101" s="2"/>
      <c r="EC101" s="2"/>
      <c r="ED101" s="2"/>
      <c r="EE101" s="2"/>
      <c r="EF101" s="1"/>
      <c r="EG101" s="98"/>
      <c r="EH101" s="98"/>
      <c r="EI101" s="1"/>
      <c r="EJ101" s="1"/>
      <c r="EK101" s="98"/>
      <c r="EL101" s="1"/>
    </row>
    <row r="102" spans="1:142">
      <c r="A102" s="32">
        <f t="shared" si="46"/>
        <v>6775</v>
      </c>
      <c r="B102" s="3" t="str">
        <f t="shared" si="47"/>
        <v>sv_statement//Statement//Export Statement&amp;PDFID=Renee Moeller_6775&amp;SO=Y</v>
      </c>
      <c r="C102" s="5" t="str">
        <f t="shared" si="88"/>
        <v>Statement</v>
      </c>
      <c r="D102" s="5" t="str">
        <f t="shared" si="48"/>
        <v>Renee Moeller_6775</v>
      </c>
      <c r="E102" s="5"/>
      <c r="F102" s="5">
        <v>6775</v>
      </c>
      <c r="G102" s="22" t="s">
        <v>362</v>
      </c>
      <c r="H102" s="5" t="s">
        <v>250</v>
      </c>
      <c r="I102" s="5" t="s">
        <v>361</v>
      </c>
      <c r="J102" s="5" t="s">
        <v>220</v>
      </c>
      <c r="K102" s="5" t="s">
        <v>221</v>
      </c>
      <c r="L102" s="31">
        <f t="shared" si="49"/>
        <v>29269</v>
      </c>
      <c r="M102" s="5" t="s">
        <v>287</v>
      </c>
      <c r="N102" s="22" t="s">
        <v>155</v>
      </c>
      <c r="O102" s="100">
        <v>37643</v>
      </c>
      <c r="P102" s="146">
        <f>VLOOKUP(I102,'Job Codes'!$B$2:$I$120,4,FALSE)</f>
        <v>33000</v>
      </c>
      <c r="Q102" s="146">
        <f>VLOOKUP(I102,'Job Codes'!$B$2:$I$120,5,FALSE)</f>
        <v>42900</v>
      </c>
      <c r="R102" s="146">
        <f>VLOOKUP(I102,'Job Codes'!$B$2:$I$120,6,FALSE)</f>
        <v>51480</v>
      </c>
      <c r="S102" s="22" t="s">
        <v>171</v>
      </c>
      <c r="T102" s="146">
        <v>30035</v>
      </c>
      <c r="U102" s="8">
        <f>VLOOKUP(S102,Data!$H$22:$I$25,2,FALSE)*T102</f>
        <v>30035</v>
      </c>
      <c r="V102" s="180">
        <f t="shared" si="50"/>
        <v>0.70011655011655016</v>
      </c>
      <c r="W102" s="180">
        <f t="shared" si="51"/>
        <v>0.42833361078741466</v>
      </c>
      <c r="X102" s="22" t="str">
        <f t="shared" si="52"/>
        <v>Yes</v>
      </c>
      <c r="Y102" s="180">
        <f t="shared" si="53"/>
        <v>0.02</v>
      </c>
      <c r="Z102" s="146">
        <f t="shared" si="54"/>
        <v>600.70000000000005</v>
      </c>
      <c r="AA102" s="146">
        <f t="shared" si="55"/>
        <v>600.70000000000005</v>
      </c>
      <c r="AB102" s="72"/>
      <c r="AC102" s="146">
        <f>AB102/VLOOKUP(S102,Data!$H$22:$I$25,2,FALSE)</f>
        <v>0</v>
      </c>
      <c r="AD102" s="22" t="s">
        <v>157</v>
      </c>
      <c r="AE102" s="146">
        <f>VLOOKUP(S102,Data!$H$22:$J$25,3,FALSE)*T102</f>
        <v>901.05</v>
      </c>
      <c r="AF102" s="8">
        <f>VLOOKUP(S102,Data!$H$22:$I$25,2,FALSE)*AE102</f>
        <v>901.05</v>
      </c>
      <c r="AG102" s="8" t="s">
        <v>178</v>
      </c>
      <c r="AH102" s="23">
        <v>2.1000000000000001E-2</v>
      </c>
      <c r="AI102" s="72"/>
      <c r="AJ102" s="159">
        <f t="shared" si="56"/>
        <v>2.1000000000000001E-2</v>
      </c>
      <c r="AK102" s="168">
        <f t="shared" si="89"/>
        <v>630.73500000000001</v>
      </c>
      <c r="AL102" s="160">
        <f t="shared" si="90"/>
        <v>630.73500000000001</v>
      </c>
      <c r="AM102" s="168">
        <f t="shared" si="57"/>
        <v>30665.735000000001</v>
      </c>
      <c r="AN102" s="160">
        <f t="shared" si="58"/>
        <v>30665.735000000001</v>
      </c>
      <c r="AO102" s="160" t="str">
        <f t="shared" si="91"/>
        <v>No</v>
      </c>
      <c r="AP102" s="146">
        <f>IF(AQ102=0,0,AQ102/VLOOKUP(S102,Data!$H$22:$I$25,2,FALSE))</f>
        <v>0</v>
      </c>
      <c r="AQ102" s="183">
        <f t="shared" si="59"/>
        <v>0</v>
      </c>
      <c r="AR102" s="165">
        <f t="shared" si="60"/>
        <v>630.73500000000001</v>
      </c>
      <c r="AS102" s="183">
        <f t="shared" si="61"/>
        <v>630.73500000000001</v>
      </c>
      <c r="AT102" s="250">
        <f t="shared" si="62"/>
        <v>2.1000000000000001E-2</v>
      </c>
      <c r="AU102" s="146">
        <f t="shared" si="63"/>
        <v>30665.735000000001</v>
      </c>
      <c r="AV102" s="8">
        <f t="shared" si="64"/>
        <v>30665.735000000001</v>
      </c>
      <c r="AW102" s="8" t="str">
        <f t="shared" si="65"/>
        <v/>
      </c>
      <c r="AX102" s="180">
        <f t="shared" si="66"/>
        <v>0.7148189976689977</v>
      </c>
      <c r="AY102" s="146">
        <f t="shared" si="67"/>
        <v>0</v>
      </c>
      <c r="AZ102" s="146">
        <f t="shared" si="68"/>
        <v>0</v>
      </c>
      <c r="BA102" s="22" t="s">
        <v>159</v>
      </c>
      <c r="BB102" s="149"/>
      <c r="BC102" s="149"/>
      <c r="BD102" s="144"/>
      <c r="BE102" s="146" t="str">
        <f t="shared" si="69"/>
        <v/>
      </c>
      <c r="BF102" s="8" t="str">
        <f t="shared" si="70"/>
        <v/>
      </c>
      <c r="BG102" s="8" t="str">
        <f>IF(LEN(BC102)&gt;0,VLOOKUP(BC102,'Job Codes'!B95:I213,7,FALSE),"")</f>
        <v/>
      </c>
      <c r="BH102" s="192" t="str">
        <f>IF(LEN(BC102)&gt;0,VLOOKUP(BC102,'Job Codes'!B95:I213,8,FALSE),"")</f>
        <v/>
      </c>
      <c r="BI102" s="192" t="str">
        <f>IF(LEN(BC102)&gt;0,VLOOKUP(BC102,'Job Codes'!$B$2:$J$120,9,FALSE),"")</f>
        <v/>
      </c>
      <c r="BJ102" s="146" t="str">
        <f>IF(LEN(BC102)&gt;0,VLOOKUP(BC102,'Job Codes'!$B$2:$I$120,4,FALSE),"")</f>
        <v/>
      </c>
      <c r="BK102" s="146" t="str">
        <f>IF(LEN(BC102)&gt;0,VLOOKUP(BC102,'Job Codes'!$B$2:$I$120,5,FALSE),"")</f>
        <v/>
      </c>
      <c r="BL102" s="146" t="str">
        <f>IF(LEN(BC102)&gt;0,VLOOKUP(BC102,'Job Codes'!$B$2:$I$120,6,FALSE),"")</f>
        <v/>
      </c>
      <c r="BM102" s="168">
        <f t="shared" si="71"/>
        <v>30665.735000000001</v>
      </c>
      <c r="BN102" s="160">
        <f t="shared" si="72"/>
        <v>30665.735000000001</v>
      </c>
      <c r="BO102" s="22" t="s">
        <v>157</v>
      </c>
      <c r="BP102" s="157">
        <f>VLOOKUP(I102,'Job Codes'!$B$2:$I$120,8,FALSE)</f>
        <v>0.1</v>
      </c>
      <c r="BQ102" s="25" t="str">
        <f>IF(O102&gt;Data!$H$33,"Yes","No")</f>
        <v>No</v>
      </c>
      <c r="BR102" s="191">
        <v>0.1</v>
      </c>
      <c r="BS102" s="150">
        <f t="shared" si="73"/>
        <v>3003.5</v>
      </c>
      <c r="BT102" s="25">
        <f t="shared" si="74"/>
        <v>3003.5</v>
      </c>
      <c r="BU102" s="161">
        <v>1</v>
      </c>
      <c r="BV102" s="168">
        <f t="shared" si="75"/>
        <v>3003.5</v>
      </c>
      <c r="BW102" s="160">
        <f t="shared" si="76"/>
        <v>3003.5</v>
      </c>
      <c r="BX102" s="149"/>
      <c r="BY102" s="32">
        <f t="shared" si="77"/>
        <v>0</v>
      </c>
      <c r="BZ102" s="22" t="s">
        <v>157</v>
      </c>
      <c r="CA102" s="231">
        <f>VLOOKUP(I102,'Job Codes'!$B$2:$J$120,9,FALSE)</f>
        <v>0.1</v>
      </c>
      <c r="CB102" s="253">
        <f t="shared" si="78"/>
        <v>3003.5</v>
      </c>
      <c r="CC102" s="72"/>
      <c r="CD102" s="25" t="str">
        <f t="shared" si="79"/>
        <v>Meets</v>
      </c>
      <c r="CE102" s="27"/>
      <c r="CF102" s="27"/>
      <c r="CG102" s="27"/>
      <c r="CH102" s="27"/>
      <c r="CI102" s="27"/>
      <c r="CJ102" s="3">
        <v>29271</v>
      </c>
      <c r="CK102" s="3" t="s">
        <v>255</v>
      </c>
      <c r="CL102" s="3">
        <v>4569</v>
      </c>
      <c r="CM102" s="3" t="s">
        <v>161</v>
      </c>
      <c r="CN102" s="3">
        <v>4571</v>
      </c>
      <c r="CO102" s="3" t="s">
        <v>162</v>
      </c>
      <c r="CP102" s="3">
        <v>12345</v>
      </c>
      <c r="CQ102" s="3" t="s">
        <v>163</v>
      </c>
      <c r="CR102" s="246" t="s">
        <v>164</v>
      </c>
      <c r="CS102" s="5" t="s">
        <v>165</v>
      </c>
      <c r="CT102" s="246" t="s">
        <v>256</v>
      </c>
      <c r="CU102" s="247" t="s">
        <v>257</v>
      </c>
      <c r="CV102" s="3" t="str">
        <f t="shared" si="80"/>
        <v>67890;86672</v>
      </c>
      <c r="CW102" s="3" t="s">
        <v>168</v>
      </c>
      <c r="CX102" s="3" t="str">
        <f t="shared" si="81"/>
        <v>;;BB102:BD102;;</v>
      </c>
      <c r="CY102" s="5" t="str">
        <f t="shared" si="82"/>
        <v>Unlock</v>
      </c>
      <c r="CZ102" s="5" t="str">
        <f t="shared" si="83"/>
        <v>Lock</v>
      </c>
      <c r="DA102" s="5" t="str">
        <f t="shared" si="84"/>
        <v>Lock</v>
      </c>
      <c r="DB102" s="5" t="str">
        <f t="shared" si="85"/>
        <v>Lock</v>
      </c>
      <c r="DC102" s="5" t="str">
        <f t="shared" si="86"/>
        <v>Lock</v>
      </c>
      <c r="DD102" s="78">
        <f t="shared" si="87"/>
        <v>2</v>
      </c>
      <c r="DE102" s="2"/>
      <c r="DF102" s="2"/>
      <c r="DG102" s="2"/>
      <c r="DH102" s="2"/>
      <c r="DI102" s="2"/>
      <c r="DJ102" s="2"/>
      <c r="DK102" s="5"/>
      <c r="DL102" s="2"/>
      <c r="DM102" s="2"/>
      <c r="DN102" s="2"/>
      <c r="DO102" s="2"/>
      <c r="DP102" s="2"/>
      <c r="DQ102" s="2"/>
      <c r="DR102" s="2"/>
      <c r="DS102" s="2"/>
      <c r="DT102" s="2"/>
      <c r="DU102" s="2"/>
      <c r="DV102" s="2"/>
      <c r="DW102" s="2"/>
      <c r="DX102" s="2"/>
      <c r="DY102" s="2"/>
      <c r="DZ102" s="2"/>
      <c r="EA102" s="2"/>
      <c r="EB102" s="2"/>
      <c r="EC102" s="2"/>
      <c r="ED102" s="2"/>
      <c r="EE102" s="2"/>
      <c r="EF102" s="1"/>
      <c r="EG102" s="98"/>
      <c r="EH102" s="98"/>
      <c r="EI102" s="1"/>
      <c r="EJ102" s="1"/>
      <c r="EK102" s="98"/>
      <c r="EL102" s="1"/>
    </row>
    <row r="103" spans="1:142">
      <c r="A103" s="32">
        <f t="shared" si="46"/>
        <v>6799</v>
      </c>
      <c r="B103" s="3" t="str">
        <f t="shared" si="47"/>
        <v>sv_statement//Statement//Export Statement&amp;PDFID=Amber Neel_6799&amp;SO=Y</v>
      </c>
      <c r="C103" s="5" t="str">
        <f t="shared" si="88"/>
        <v>Statement</v>
      </c>
      <c r="D103" s="5" t="str">
        <f t="shared" si="48"/>
        <v>Amber Neel_6799</v>
      </c>
      <c r="E103" s="5"/>
      <c r="F103" s="5">
        <v>6799</v>
      </c>
      <c r="G103" s="22" t="s">
        <v>363</v>
      </c>
      <c r="H103" s="5" t="s">
        <v>250</v>
      </c>
      <c r="I103" s="5" t="s">
        <v>357</v>
      </c>
      <c r="J103" s="5" t="s">
        <v>220</v>
      </c>
      <c r="K103" s="5" t="s">
        <v>328</v>
      </c>
      <c r="L103" s="31">
        <f t="shared" si="49"/>
        <v>29271</v>
      </c>
      <c r="M103" s="5" t="s">
        <v>255</v>
      </c>
      <c r="N103" s="22" t="s">
        <v>155</v>
      </c>
      <c r="O103" s="100">
        <v>37852</v>
      </c>
      <c r="P103" s="146">
        <f>VLOOKUP(I103,'Job Codes'!$B$2:$I$120,4,FALSE)</f>
        <v>33000</v>
      </c>
      <c r="Q103" s="146">
        <f>VLOOKUP(I103,'Job Codes'!$B$2:$I$120,5,FALSE)</f>
        <v>42900</v>
      </c>
      <c r="R103" s="146">
        <f>VLOOKUP(I103,'Job Codes'!$B$2:$I$120,6,FALSE)</f>
        <v>51480</v>
      </c>
      <c r="S103" s="22" t="s">
        <v>171</v>
      </c>
      <c r="T103" s="146">
        <v>29682</v>
      </c>
      <c r="U103" s="8">
        <f>VLOOKUP(S103,Data!$H$22:$I$25,2,FALSE)*T103</f>
        <v>29682</v>
      </c>
      <c r="V103" s="180">
        <f t="shared" si="50"/>
        <v>0.69188811188811183</v>
      </c>
      <c r="W103" s="180">
        <f t="shared" si="51"/>
        <v>0.44532039619971703</v>
      </c>
      <c r="X103" s="22" t="str">
        <f t="shared" si="52"/>
        <v>Yes</v>
      </c>
      <c r="Y103" s="180">
        <f t="shared" si="53"/>
        <v>0.02</v>
      </c>
      <c r="Z103" s="146">
        <f t="shared" si="54"/>
        <v>593.64</v>
      </c>
      <c r="AA103" s="146">
        <f t="shared" si="55"/>
        <v>593.64</v>
      </c>
      <c r="AB103" s="72"/>
      <c r="AC103" s="146">
        <f>AB103/VLOOKUP(S103,Data!$H$22:$I$25,2,FALSE)</f>
        <v>0</v>
      </c>
      <c r="AD103" s="22" t="s">
        <v>157</v>
      </c>
      <c r="AE103" s="146">
        <f>VLOOKUP(S103,Data!$H$22:$J$25,3,FALSE)*T103</f>
        <v>890.45999999999992</v>
      </c>
      <c r="AF103" s="8">
        <f>VLOOKUP(S103,Data!$H$22:$I$25,2,FALSE)*AE103</f>
        <v>890.45999999999992</v>
      </c>
      <c r="AG103" s="8" t="s">
        <v>178</v>
      </c>
      <c r="AH103" s="23">
        <v>1.4999999999999999E-2</v>
      </c>
      <c r="AI103" s="72"/>
      <c r="AJ103" s="159">
        <f t="shared" si="56"/>
        <v>1.4999999999999999E-2</v>
      </c>
      <c r="AK103" s="168">
        <f t="shared" si="89"/>
        <v>445.22999999999996</v>
      </c>
      <c r="AL103" s="160">
        <f t="shared" si="90"/>
        <v>445.22999999999996</v>
      </c>
      <c r="AM103" s="168">
        <f t="shared" si="57"/>
        <v>30127.23</v>
      </c>
      <c r="AN103" s="160">
        <f t="shared" si="58"/>
        <v>30127.23</v>
      </c>
      <c r="AO103" s="160" t="str">
        <f t="shared" si="91"/>
        <v>No</v>
      </c>
      <c r="AP103" s="146">
        <f>IF(AQ103=0,0,AQ103/VLOOKUP(S103,Data!$H$22:$I$25,2,FALSE))</f>
        <v>0</v>
      </c>
      <c r="AQ103" s="183">
        <f t="shared" si="59"/>
        <v>0</v>
      </c>
      <c r="AR103" s="165">
        <f t="shared" si="60"/>
        <v>445.22999999999996</v>
      </c>
      <c r="AS103" s="183">
        <f t="shared" si="61"/>
        <v>445.22999999999996</v>
      </c>
      <c r="AT103" s="250">
        <f t="shared" si="62"/>
        <v>1.4999999999999999E-2</v>
      </c>
      <c r="AU103" s="146">
        <f t="shared" si="63"/>
        <v>30127.23</v>
      </c>
      <c r="AV103" s="8">
        <f t="shared" si="64"/>
        <v>30127.23</v>
      </c>
      <c r="AW103" s="8" t="str">
        <f t="shared" si="65"/>
        <v/>
      </c>
      <c r="AX103" s="180">
        <f t="shared" si="66"/>
        <v>0.70226643356643359</v>
      </c>
      <c r="AY103" s="146">
        <f t="shared" si="67"/>
        <v>0</v>
      </c>
      <c r="AZ103" s="146">
        <f t="shared" si="68"/>
        <v>0</v>
      </c>
      <c r="BA103" s="22" t="s">
        <v>159</v>
      </c>
      <c r="BB103" s="149"/>
      <c r="BC103" s="149"/>
      <c r="BD103" s="144"/>
      <c r="BE103" s="146" t="str">
        <f t="shared" si="69"/>
        <v/>
      </c>
      <c r="BF103" s="8" t="str">
        <f t="shared" si="70"/>
        <v/>
      </c>
      <c r="BG103" s="8" t="str">
        <f>IF(LEN(BC103)&gt;0,VLOOKUP(BC103,'Job Codes'!B96:I214,7,FALSE),"")</f>
        <v/>
      </c>
      <c r="BH103" s="192" t="str">
        <f>IF(LEN(BC103)&gt;0,VLOOKUP(BC103,'Job Codes'!B96:I214,8,FALSE),"")</f>
        <v/>
      </c>
      <c r="BI103" s="192" t="str">
        <f>IF(LEN(BC103)&gt;0,VLOOKUP(BC103,'Job Codes'!$B$2:$J$120,9,FALSE),"")</f>
        <v/>
      </c>
      <c r="BJ103" s="146" t="str">
        <f>IF(LEN(BC103)&gt;0,VLOOKUP(BC103,'Job Codes'!$B$2:$I$120,4,FALSE),"")</f>
        <v/>
      </c>
      <c r="BK103" s="146" t="str">
        <f>IF(LEN(BC103)&gt;0,VLOOKUP(BC103,'Job Codes'!$B$2:$I$120,5,FALSE),"")</f>
        <v/>
      </c>
      <c r="BL103" s="146" t="str">
        <f>IF(LEN(BC103)&gt;0,VLOOKUP(BC103,'Job Codes'!$B$2:$I$120,6,FALSE),"")</f>
        <v/>
      </c>
      <c r="BM103" s="168">
        <f t="shared" si="71"/>
        <v>30127.23</v>
      </c>
      <c r="BN103" s="160">
        <f t="shared" si="72"/>
        <v>30127.23</v>
      </c>
      <c r="BO103" s="22" t="s">
        <v>157</v>
      </c>
      <c r="BP103" s="157">
        <f>VLOOKUP(I103,'Job Codes'!$B$2:$I$120,8,FALSE)</f>
        <v>0.1</v>
      </c>
      <c r="BQ103" s="25" t="str">
        <f>IF(O103&gt;Data!$H$33,"Yes","No")</f>
        <v>No</v>
      </c>
      <c r="BR103" s="191">
        <v>0.1</v>
      </c>
      <c r="BS103" s="150">
        <f t="shared" si="73"/>
        <v>2968.2000000000003</v>
      </c>
      <c r="BT103" s="25">
        <f t="shared" si="74"/>
        <v>2968.2000000000003</v>
      </c>
      <c r="BU103" s="161">
        <v>1</v>
      </c>
      <c r="BV103" s="168">
        <f t="shared" si="75"/>
        <v>2968.2000000000003</v>
      </c>
      <c r="BW103" s="160">
        <f t="shared" si="76"/>
        <v>2968.2000000000003</v>
      </c>
      <c r="BX103" s="149"/>
      <c r="BY103" s="32">
        <f t="shared" si="77"/>
        <v>0</v>
      </c>
      <c r="BZ103" s="22" t="s">
        <v>157</v>
      </c>
      <c r="CA103" s="231">
        <f>VLOOKUP(I103,'Job Codes'!$B$2:$J$120,9,FALSE)</f>
        <v>0.1</v>
      </c>
      <c r="CB103" s="253">
        <f t="shared" si="78"/>
        <v>2968.2000000000003</v>
      </c>
      <c r="CC103" s="72"/>
      <c r="CD103" s="25" t="str">
        <f t="shared" si="79"/>
        <v>Meets</v>
      </c>
      <c r="CE103" s="27"/>
      <c r="CF103" s="27"/>
      <c r="CG103" s="27"/>
      <c r="CH103" s="27"/>
      <c r="CI103" s="27"/>
      <c r="CJ103" s="3"/>
      <c r="CK103" s="3"/>
      <c r="CL103" s="3"/>
      <c r="CM103" s="3"/>
      <c r="CN103" s="3">
        <v>4571</v>
      </c>
      <c r="CO103" s="3" t="s">
        <v>162</v>
      </c>
      <c r="CP103" s="3">
        <v>12345</v>
      </c>
      <c r="CQ103" s="3" t="s">
        <v>163</v>
      </c>
      <c r="CR103" s="246" t="s">
        <v>256</v>
      </c>
      <c r="CS103" s="247" t="s">
        <v>257</v>
      </c>
      <c r="CT103" s="246" t="s">
        <v>199</v>
      </c>
      <c r="CU103" s="247" t="s">
        <v>200</v>
      </c>
      <c r="CV103" s="3" t="str">
        <f t="shared" si="80"/>
        <v>86672;36523</v>
      </c>
      <c r="CW103" s="3" t="s">
        <v>168</v>
      </c>
      <c r="CX103" s="3" t="str">
        <f t="shared" si="81"/>
        <v>;;BB103:BD103;;</v>
      </c>
      <c r="CY103" s="5" t="str">
        <f t="shared" si="82"/>
        <v>Unlock</v>
      </c>
      <c r="CZ103" s="5" t="str">
        <f t="shared" si="83"/>
        <v>Lock</v>
      </c>
      <c r="DA103" s="5" t="str">
        <f t="shared" si="84"/>
        <v>Lock</v>
      </c>
      <c r="DB103" s="5" t="str">
        <f t="shared" si="85"/>
        <v>Lock</v>
      </c>
      <c r="DC103" s="5" t="str">
        <f t="shared" si="86"/>
        <v>Lock</v>
      </c>
      <c r="DD103" s="78">
        <f t="shared" si="87"/>
        <v>4</v>
      </c>
      <c r="DE103" s="2"/>
      <c r="DF103" s="2"/>
      <c r="DG103" s="2"/>
      <c r="DH103" s="2"/>
      <c r="DI103" s="2"/>
      <c r="DJ103" s="2"/>
      <c r="DK103" s="5"/>
      <c r="DL103" s="2"/>
      <c r="DM103" s="2"/>
      <c r="DN103" s="2"/>
      <c r="DO103" s="2"/>
      <c r="DP103" s="2"/>
      <c r="DQ103" s="2"/>
      <c r="DR103" s="2"/>
      <c r="DS103" s="2"/>
      <c r="DT103" s="2"/>
      <c r="DU103" s="2"/>
      <c r="DV103" s="2"/>
      <c r="DW103" s="2"/>
      <c r="DX103" s="2"/>
      <c r="DY103" s="2"/>
      <c r="DZ103" s="2"/>
      <c r="EA103" s="2"/>
      <c r="EB103" s="2"/>
      <c r="EC103" s="2"/>
      <c r="ED103" s="2"/>
      <c r="EE103" s="2"/>
      <c r="EF103" s="1"/>
      <c r="EG103" s="98"/>
      <c r="EH103" s="98"/>
      <c r="EI103" s="1"/>
      <c r="EJ103" s="1"/>
      <c r="EK103" s="98"/>
      <c r="EL103" s="1"/>
    </row>
    <row r="104" spans="1:142">
      <c r="A104" s="32">
        <f t="shared" si="46"/>
        <v>6938</v>
      </c>
      <c r="B104" s="3" t="str">
        <f t="shared" si="47"/>
        <v>sv_statement//Statement//Export Statement&amp;PDFID=Dale Nunley_6938&amp;SO=Y</v>
      </c>
      <c r="C104" s="5" t="str">
        <f t="shared" si="88"/>
        <v>Statement</v>
      </c>
      <c r="D104" s="5" t="str">
        <f t="shared" si="48"/>
        <v>Dale Nunley_6938</v>
      </c>
      <c r="E104" s="5"/>
      <c r="F104" s="5">
        <v>6938</v>
      </c>
      <c r="G104" s="22" t="s">
        <v>364</v>
      </c>
      <c r="H104" s="5" t="s">
        <v>250</v>
      </c>
      <c r="I104" s="5" t="s">
        <v>365</v>
      </c>
      <c r="J104" s="5" t="s">
        <v>252</v>
      </c>
      <c r="K104" s="5" t="s">
        <v>253</v>
      </c>
      <c r="L104" s="31">
        <f t="shared" si="49"/>
        <v>29342</v>
      </c>
      <c r="M104" s="5" t="s">
        <v>254</v>
      </c>
      <c r="N104" s="22" t="s">
        <v>155</v>
      </c>
      <c r="O104" s="100">
        <v>37874</v>
      </c>
      <c r="P104" s="146">
        <f>VLOOKUP(I104,'Job Codes'!$B$2:$I$120,4,FALSE)</f>
        <v>33000</v>
      </c>
      <c r="Q104" s="146">
        <f>VLOOKUP(I104,'Job Codes'!$B$2:$I$120,5,FALSE)</f>
        <v>42900</v>
      </c>
      <c r="R104" s="146">
        <f>VLOOKUP(I104,'Job Codes'!$B$2:$I$120,6,FALSE)</f>
        <v>51480</v>
      </c>
      <c r="S104" s="22" t="s">
        <v>171</v>
      </c>
      <c r="T104" s="146">
        <v>27602</v>
      </c>
      <c r="U104" s="8">
        <f>VLOOKUP(S104,Data!$H$22:$I$25,2,FALSE)*T104</f>
        <v>27602</v>
      </c>
      <c r="V104" s="180">
        <f t="shared" si="50"/>
        <v>0.64340326340326337</v>
      </c>
      <c r="W104" s="180">
        <f t="shared" si="51"/>
        <v>0.55423520034780094</v>
      </c>
      <c r="X104" s="22" t="str">
        <f t="shared" si="52"/>
        <v>Yes</v>
      </c>
      <c r="Y104" s="180">
        <f t="shared" si="53"/>
        <v>0.02</v>
      </c>
      <c r="Z104" s="146">
        <f t="shared" si="54"/>
        <v>552.04</v>
      </c>
      <c r="AA104" s="146">
        <f t="shared" si="55"/>
        <v>552.04</v>
      </c>
      <c r="AB104" s="72"/>
      <c r="AC104" s="146">
        <f>AB104/VLOOKUP(S104,Data!$H$22:$I$25,2,FALSE)</f>
        <v>0</v>
      </c>
      <c r="AD104" s="22" t="s">
        <v>157</v>
      </c>
      <c r="AE104" s="146">
        <f>VLOOKUP(S104,Data!$H$22:$J$25,3,FALSE)*T104</f>
        <v>828.06</v>
      </c>
      <c r="AF104" s="8">
        <f>VLOOKUP(S104,Data!$H$22:$I$25,2,FALSE)*AE104</f>
        <v>828.06</v>
      </c>
      <c r="AG104" s="8" t="s">
        <v>178</v>
      </c>
      <c r="AH104" s="23">
        <v>2.5000000000000001E-2</v>
      </c>
      <c r="AI104" s="72"/>
      <c r="AJ104" s="159">
        <f t="shared" si="56"/>
        <v>2.5000000000000001E-2</v>
      </c>
      <c r="AK104" s="168">
        <f t="shared" si="89"/>
        <v>690.05000000000007</v>
      </c>
      <c r="AL104" s="160">
        <f t="shared" si="90"/>
        <v>690.05000000000007</v>
      </c>
      <c r="AM104" s="168">
        <f t="shared" si="57"/>
        <v>28292.05</v>
      </c>
      <c r="AN104" s="160">
        <f t="shared" si="58"/>
        <v>28292.05</v>
      </c>
      <c r="AO104" s="160" t="str">
        <f t="shared" si="91"/>
        <v>No</v>
      </c>
      <c r="AP104" s="146">
        <f>IF(AQ104=0,0,AQ104/VLOOKUP(S104,Data!$H$22:$I$25,2,FALSE))</f>
        <v>0</v>
      </c>
      <c r="AQ104" s="183">
        <f t="shared" si="59"/>
        <v>0</v>
      </c>
      <c r="AR104" s="165">
        <f t="shared" si="60"/>
        <v>690.05000000000007</v>
      </c>
      <c r="AS104" s="183">
        <f t="shared" si="61"/>
        <v>690.05000000000007</v>
      </c>
      <c r="AT104" s="250">
        <f t="shared" si="62"/>
        <v>2.5000000000000001E-2</v>
      </c>
      <c r="AU104" s="146">
        <f t="shared" si="63"/>
        <v>28292.05</v>
      </c>
      <c r="AV104" s="8">
        <f t="shared" si="64"/>
        <v>28292.05</v>
      </c>
      <c r="AW104" s="8" t="str">
        <f t="shared" si="65"/>
        <v/>
      </c>
      <c r="AX104" s="180">
        <f t="shared" si="66"/>
        <v>0.65948834498834497</v>
      </c>
      <c r="AY104" s="146">
        <f t="shared" si="67"/>
        <v>0</v>
      </c>
      <c r="AZ104" s="146">
        <f t="shared" si="68"/>
        <v>0</v>
      </c>
      <c r="BA104" s="22" t="s">
        <v>159</v>
      </c>
      <c r="BB104" s="149"/>
      <c r="BC104" s="149"/>
      <c r="BD104" s="144"/>
      <c r="BE104" s="146" t="str">
        <f t="shared" si="69"/>
        <v/>
      </c>
      <c r="BF104" s="8" t="str">
        <f t="shared" si="70"/>
        <v/>
      </c>
      <c r="BG104" s="8" t="str">
        <f>IF(LEN(BC104)&gt;0,VLOOKUP(BC104,'Job Codes'!B97:I215,7,FALSE),"")</f>
        <v/>
      </c>
      <c r="BH104" s="192" t="str">
        <f>IF(LEN(BC104)&gt;0,VLOOKUP(BC104,'Job Codes'!B97:I215,8,FALSE),"")</f>
        <v/>
      </c>
      <c r="BI104" s="192" t="str">
        <f>IF(LEN(BC104)&gt;0,VLOOKUP(BC104,'Job Codes'!$B$2:$J$120,9,FALSE),"")</f>
        <v/>
      </c>
      <c r="BJ104" s="146" t="str">
        <f>IF(LEN(BC104)&gt;0,VLOOKUP(BC104,'Job Codes'!$B$2:$I$120,4,FALSE),"")</f>
        <v/>
      </c>
      <c r="BK104" s="146" t="str">
        <f>IF(LEN(BC104)&gt;0,VLOOKUP(BC104,'Job Codes'!$B$2:$I$120,5,FALSE),"")</f>
        <v/>
      </c>
      <c r="BL104" s="146" t="str">
        <f>IF(LEN(BC104)&gt;0,VLOOKUP(BC104,'Job Codes'!$B$2:$I$120,6,FALSE),"")</f>
        <v/>
      </c>
      <c r="BM104" s="168">
        <f t="shared" si="71"/>
        <v>28292.05</v>
      </c>
      <c r="BN104" s="160">
        <f t="shared" si="72"/>
        <v>28292.05</v>
      </c>
      <c r="BO104" s="22" t="s">
        <v>157</v>
      </c>
      <c r="BP104" s="157">
        <f>VLOOKUP(I104,'Job Codes'!$B$2:$I$120,8,FALSE)</f>
        <v>0.1</v>
      </c>
      <c r="BQ104" s="25" t="str">
        <f>IF(O104&gt;Data!$H$33,"Yes","No")</f>
        <v>No</v>
      </c>
      <c r="BR104" s="191">
        <v>0.1</v>
      </c>
      <c r="BS104" s="150">
        <f t="shared" si="73"/>
        <v>2760.2000000000003</v>
      </c>
      <c r="BT104" s="25">
        <f t="shared" si="74"/>
        <v>2760.2000000000003</v>
      </c>
      <c r="BU104" s="161">
        <v>1</v>
      </c>
      <c r="BV104" s="168">
        <f t="shared" si="75"/>
        <v>2760.2000000000003</v>
      </c>
      <c r="BW104" s="160">
        <f t="shared" si="76"/>
        <v>2760.2000000000003</v>
      </c>
      <c r="BX104" s="149"/>
      <c r="BY104" s="32">
        <f t="shared" si="77"/>
        <v>0</v>
      </c>
      <c r="BZ104" s="22" t="s">
        <v>157</v>
      </c>
      <c r="CA104" s="231">
        <f>VLOOKUP(I104,'Job Codes'!$B$2:$J$120,9,FALSE)</f>
        <v>0.1</v>
      </c>
      <c r="CB104" s="253">
        <f t="shared" si="78"/>
        <v>2760.2000000000003</v>
      </c>
      <c r="CC104" s="72"/>
      <c r="CD104" s="25" t="str">
        <f t="shared" si="79"/>
        <v>Meets</v>
      </c>
      <c r="CE104" s="27"/>
      <c r="CF104" s="27"/>
      <c r="CG104" s="27"/>
      <c r="CH104" s="27"/>
      <c r="CI104" s="27"/>
      <c r="CJ104" s="3">
        <v>29271</v>
      </c>
      <c r="CK104" s="3" t="s">
        <v>255</v>
      </c>
      <c r="CL104" s="3">
        <v>4569</v>
      </c>
      <c r="CM104" s="3" t="s">
        <v>161</v>
      </c>
      <c r="CN104" s="3">
        <v>4571</v>
      </c>
      <c r="CO104" s="3" t="s">
        <v>162</v>
      </c>
      <c r="CP104" s="3">
        <v>12345</v>
      </c>
      <c r="CQ104" s="3" t="s">
        <v>163</v>
      </c>
      <c r="CR104" s="246" t="s">
        <v>164</v>
      </c>
      <c r="CS104" s="5" t="s">
        <v>165</v>
      </c>
      <c r="CT104" s="246" t="s">
        <v>256</v>
      </c>
      <c r="CU104" s="247" t="s">
        <v>257</v>
      </c>
      <c r="CV104" s="3" t="str">
        <f t="shared" si="80"/>
        <v>67890;86672</v>
      </c>
      <c r="CW104" s="3" t="s">
        <v>168</v>
      </c>
      <c r="CX104" s="3" t="str">
        <f t="shared" si="81"/>
        <v>;;BB104:BD104;;</v>
      </c>
      <c r="CY104" s="5" t="str">
        <f t="shared" si="82"/>
        <v>Unlock</v>
      </c>
      <c r="CZ104" s="5" t="str">
        <f t="shared" si="83"/>
        <v>Lock</v>
      </c>
      <c r="DA104" s="5" t="str">
        <f t="shared" si="84"/>
        <v>Lock</v>
      </c>
      <c r="DB104" s="5" t="str">
        <f t="shared" si="85"/>
        <v>Lock</v>
      </c>
      <c r="DC104" s="5" t="str">
        <f t="shared" si="86"/>
        <v>Lock</v>
      </c>
      <c r="DD104" s="78">
        <f t="shared" si="87"/>
        <v>2</v>
      </c>
      <c r="DE104" s="2"/>
      <c r="DF104" s="2"/>
      <c r="DG104" s="2"/>
      <c r="DH104" s="2"/>
      <c r="DI104" s="2"/>
      <c r="DJ104" s="2"/>
      <c r="DK104" s="5"/>
      <c r="DL104" s="2"/>
      <c r="DM104" s="2"/>
      <c r="DN104" s="2"/>
      <c r="DO104" s="2"/>
      <c r="DP104" s="2"/>
      <c r="DQ104" s="2"/>
      <c r="DR104" s="2"/>
      <c r="DS104" s="2"/>
      <c r="DT104" s="2"/>
      <c r="DU104" s="2"/>
      <c r="DV104" s="2"/>
      <c r="DW104" s="2"/>
      <c r="DX104" s="2"/>
      <c r="DY104" s="2"/>
      <c r="DZ104" s="2"/>
      <c r="EA104" s="2"/>
      <c r="EB104" s="2"/>
      <c r="EC104" s="2"/>
      <c r="ED104" s="2"/>
      <c r="EE104" s="2"/>
      <c r="EF104" s="1"/>
      <c r="EG104" s="98"/>
      <c r="EH104" s="98"/>
      <c r="EI104" s="1"/>
      <c r="EJ104" s="1"/>
      <c r="EK104" s="98"/>
      <c r="EL104" s="1"/>
    </row>
    <row r="105" spans="1:142">
      <c r="A105" s="32">
        <f t="shared" si="46"/>
        <v>6947</v>
      </c>
      <c r="B105" s="3" t="str">
        <f t="shared" si="47"/>
        <v>sv_statement//Statement//Export Statement&amp;PDFID=Raymond Lankford_6947&amp;SO=Y</v>
      </c>
      <c r="C105" s="5" t="str">
        <f t="shared" si="88"/>
        <v>Statement</v>
      </c>
      <c r="D105" s="5" t="str">
        <f t="shared" si="48"/>
        <v>Raymond Lankford_6947</v>
      </c>
      <c r="E105" s="5"/>
      <c r="F105" s="5">
        <v>6947</v>
      </c>
      <c r="G105" s="22" t="s">
        <v>366</v>
      </c>
      <c r="H105" s="5" t="s">
        <v>367</v>
      </c>
      <c r="I105" s="5" t="s">
        <v>368</v>
      </c>
      <c r="J105" s="5" t="s">
        <v>252</v>
      </c>
      <c r="K105" s="5" t="s">
        <v>253</v>
      </c>
      <c r="L105" s="31">
        <f t="shared" si="49"/>
        <v>29342</v>
      </c>
      <c r="M105" s="5" t="s">
        <v>254</v>
      </c>
      <c r="N105" s="22" t="s">
        <v>155</v>
      </c>
      <c r="O105" s="100">
        <v>37872</v>
      </c>
      <c r="P105" s="146">
        <f>VLOOKUP(I105,'Job Codes'!$B$2:$I$120,4,FALSE)</f>
        <v>20000</v>
      </c>
      <c r="Q105" s="146">
        <f>VLOOKUP(I105,'Job Codes'!$B$2:$I$120,5,FALSE)</f>
        <v>26000</v>
      </c>
      <c r="R105" s="146">
        <f>VLOOKUP(I105,'Job Codes'!$B$2:$I$120,6,FALSE)</f>
        <v>31200</v>
      </c>
      <c r="S105" s="22" t="s">
        <v>171</v>
      </c>
      <c r="T105" s="146">
        <v>34570</v>
      </c>
      <c r="U105" s="8">
        <f>VLOOKUP(S105,Data!$H$22:$I$25,2,FALSE)*T105</f>
        <v>34570</v>
      </c>
      <c r="V105" s="180">
        <f t="shared" si="50"/>
        <v>1.3296153846153846</v>
      </c>
      <c r="W105" s="180">
        <f t="shared" si="51"/>
        <v>0</v>
      </c>
      <c r="X105" s="22" t="str">
        <f t="shared" si="52"/>
        <v>No</v>
      </c>
      <c r="Y105" s="180">
        <f t="shared" si="53"/>
        <v>0</v>
      </c>
      <c r="Z105" s="146">
        <f t="shared" si="54"/>
        <v>0</v>
      </c>
      <c r="AA105" s="146">
        <f t="shared" si="55"/>
        <v>0</v>
      </c>
      <c r="AB105" s="72"/>
      <c r="AC105" s="146">
        <f>AB105/VLOOKUP(S105,Data!$H$22:$I$25,2,FALSE)</f>
        <v>0</v>
      </c>
      <c r="AD105" s="22" t="s">
        <v>157</v>
      </c>
      <c r="AE105" s="146">
        <f>VLOOKUP(S105,Data!$H$22:$J$25,3,FALSE)*T105</f>
        <v>1037.0999999999999</v>
      </c>
      <c r="AF105" s="8">
        <f>VLOOKUP(S105,Data!$H$22:$I$25,2,FALSE)*AE105</f>
        <v>1037.0999999999999</v>
      </c>
      <c r="AG105" s="8" t="s">
        <v>178</v>
      </c>
      <c r="AH105" s="23">
        <v>0.02</v>
      </c>
      <c r="AI105" s="72"/>
      <c r="AJ105" s="159">
        <f t="shared" si="56"/>
        <v>0.02</v>
      </c>
      <c r="AK105" s="168">
        <f t="shared" si="89"/>
        <v>691.4</v>
      </c>
      <c r="AL105" s="160">
        <f t="shared" si="90"/>
        <v>691.4</v>
      </c>
      <c r="AM105" s="168">
        <f t="shared" si="57"/>
        <v>35261.4</v>
      </c>
      <c r="AN105" s="160">
        <f t="shared" si="58"/>
        <v>35261.4</v>
      </c>
      <c r="AO105" s="160" t="str">
        <f t="shared" si="91"/>
        <v>Yes by USD 4,061</v>
      </c>
      <c r="AP105" s="146">
        <f>IF(AQ105=0,0,AQ105/VLOOKUP(S105,Data!$H$22:$I$25,2,FALSE))</f>
        <v>691.4</v>
      </c>
      <c r="AQ105" s="183">
        <f t="shared" si="59"/>
        <v>691.4</v>
      </c>
      <c r="AR105" s="165">
        <f t="shared" si="60"/>
        <v>0</v>
      </c>
      <c r="AS105" s="183">
        <f t="shared" si="61"/>
        <v>0</v>
      </c>
      <c r="AT105" s="250">
        <f t="shared" si="62"/>
        <v>0</v>
      </c>
      <c r="AU105" s="146">
        <f t="shared" si="63"/>
        <v>34570</v>
      </c>
      <c r="AV105" s="8">
        <f t="shared" si="64"/>
        <v>34570</v>
      </c>
      <c r="AW105" s="8" t="str">
        <f t="shared" si="65"/>
        <v>Employee to receive full proposed merit increase as a lump sum</v>
      </c>
      <c r="AX105" s="180">
        <f t="shared" si="66"/>
        <v>1.3296153846153846</v>
      </c>
      <c r="AY105" s="146">
        <f t="shared" si="67"/>
        <v>0</v>
      </c>
      <c r="AZ105" s="146">
        <f t="shared" si="68"/>
        <v>0</v>
      </c>
      <c r="BA105" s="22" t="s">
        <v>159</v>
      </c>
      <c r="BB105" s="149"/>
      <c r="BC105" s="149"/>
      <c r="BD105" s="144"/>
      <c r="BE105" s="146" t="str">
        <f t="shared" si="69"/>
        <v/>
      </c>
      <c r="BF105" s="8" t="str">
        <f t="shared" si="70"/>
        <v/>
      </c>
      <c r="BG105" s="8" t="str">
        <f>IF(LEN(BC105)&gt;0,VLOOKUP(BC105,'Job Codes'!B98:I216,7,FALSE),"")</f>
        <v/>
      </c>
      <c r="BH105" s="192" t="str">
        <f>IF(LEN(BC105)&gt;0,VLOOKUP(BC105,'Job Codes'!B98:I216,8,FALSE),"")</f>
        <v/>
      </c>
      <c r="BI105" s="192" t="str">
        <f>IF(LEN(BC105)&gt;0,VLOOKUP(BC105,'Job Codes'!$B$2:$J$120,9,FALSE),"")</f>
        <v/>
      </c>
      <c r="BJ105" s="146" t="str">
        <f>IF(LEN(BC105)&gt;0,VLOOKUP(BC105,'Job Codes'!$B$2:$I$120,4,FALSE),"")</f>
        <v/>
      </c>
      <c r="BK105" s="146" t="str">
        <f>IF(LEN(BC105)&gt;0,VLOOKUP(BC105,'Job Codes'!$B$2:$I$120,5,FALSE),"")</f>
        <v/>
      </c>
      <c r="BL105" s="146" t="str">
        <f>IF(LEN(BC105)&gt;0,VLOOKUP(BC105,'Job Codes'!$B$2:$I$120,6,FALSE),"")</f>
        <v/>
      </c>
      <c r="BM105" s="168">
        <f t="shared" si="71"/>
        <v>34570</v>
      </c>
      <c r="BN105" s="160">
        <f t="shared" si="72"/>
        <v>34570</v>
      </c>
      <c r="BO105" s="22" t="s">
        <v>159</v>
      </c>
      <c r="BP105" s="157">
        <f>VLOOKUP(I105,'Job Codes'!$B$2:$I$120,8,FALSE)</f>
        <v>0</v>
      </c>
      <c r="BQ105" s="25" t="str">
        <f>IF(O105&gt;Data!$H$33,"Yes","No")</f>
        <v>No</v>
      </c>
      <c r="BR105" s="191">
        <v>0</v>
      </c>
      <c r="BS105" s="150">
        <f t="shared" si="73"/>
        <v>0</v>
      </c>
      <c r="BT105" s="25">
        <f t="shared" si="74"/>
        <v>0</v>
      </c>
      <c r="BU105" s="161">
        <v>1</v>
      </c>
      <c r="BV105" s="168">
        <f t="shared" si="75"/>
        <v>0</v>
      </c>
      <c r="BW105" s="160">
        <f t="shared" si="76"/>
        <v>0</v>
      </c>
      <c r="BX105" s="149"/>
      <c r="BY105" s="32">
        <f t="shared" si="77"/>
        <v>0</v>
      </c>
      <c r="BZ105" s="22" t="s">
        <v>159</v>
      </c>
      <c r="CA105" s="231">
        <f>VLOOKUP(I105,'Job Codes'!$B$2:$J$120,9,FALSE)</f>
        <v>0</v>
      </c>
      <c r="CB105" s="253">
        <f t="shared" si="78"/>
        <v>0</v>
      </c>
      <c r="CC105" s="72"/>
      <c r="CD105" s="25" t="str">
        <f t="shared" si="79"/>
        <v>Meets</v>
      </c>
      <c r="CE105" s="27"/>
      <c r="CF105" s="27"/>
      <c r="CG105" s="27"/>
      <c r="CH105" s="27"/>
      <c r="CI105" s="27"/>
      <c r="CJ105" s="3">
        <v>29271</v>
      </c>
      <c r="CK105" s="3" t="s">
        <v>255</v>
      </c>
      <c r="CL105" s="3">
        <v>4569</v>
      </c>
      <c r="CM105" s="3" t="s">
        <v>161</v>
      </c>
      <c r="CN105" s="3">
        <v>4571</v>
      </c>
      <c r="CO105" s="3" t="s">
        <v>162</v>
      </c>
      <c r="CP105" s="3">
        <v>12345</v>
      </c>
      <c r="CQ105" s="3" t="s">
        <v>163</v>
      </c>
      <c r="CR105" s="246" t="s">
        <v>164</v>
      </c>
      <c r="CS105" s="5" t="s">
        <v>165</v>
      </c>
      <c r="CT105" s="246" t="s">
        <v>256</v>
      </c>
      <c r="CU105" s="247" t="s">
        <v>257</v>
      </c>
      <c r="CV105" s="3" t="str">
        <f t="shared" si="80"/>
        <v>67890;86672</v>
      </c>
      <c r="CW105" s="3" t="s">
        <v>168</v>
      </c>
      <c r="CX105" s="3" t="str">
        <f t="shared" si="81"/>
        <v>AB105;;BB105:BD105;BU105;BX105</v>
      </c>
      <c r="CY105" s="5" t="str">
        <f t="shared" si="82"/>
        <v>Unlock</v>
      </c>
      <c r="CZ105" s="5" t="str">
        <f t="shared" si="83"/>
        <v>Lock</v>
      </c>
      <c r="DA105" s="5" t="str">
        <f t="shared" si="84"/>
        <v>Lock</v>
      </c>
      <c r="DB105" s="5" t="str">
        <f t="shared" si="85"/>
        <v>Lock</v>
      </c>
      <c r="DC105" s="5" t="str">
        <f t="shared" si="86"/>
        <v>Lock</v>
      </c>
      <c r="DD105" s="78">
        <f t="shared" si="87"/>
        <v>2</v>
      </c>
      <c r="DE105" s="2"/>
      <c r="DF105" s="2"/>
      <c r="DG105" s="2"/>
      <c r="DH105" s="2"/>
      <c r="DI105" s="2"/>
      <c r="DJ105" s="2"/>
      <c r="DK105" s="5"/>
      <c r="DL105" s="2"/>
      <c r="DM105" s="2"/>
      <c r="DN105" s="2"/>
      <c r="DO105" s="2"/>
      <c r="DP105" s="2"/>
      <c r="DQ105" s="2"/>
      <c r="DR105" s="2"/>
      <c r="DS105" s="2"/>
      <c r="DT105" s="2"/>
      <c r="DU105" s="2"/>
      <c r="DV105" s="2"/>
      <c r="DW105" s="2"/>
      <c r="DX105" s="2"/>
      <c r="DY105" s="2"/>
      <c r="DZ105" s="2"/>
      <c r="EA105" s="2"/>
      <c r="EB105" s="2"/>
      <c r="EC105" s="2"/>
      <c r="ED105" s="2"/>
      <c r="EE105" s="2"/>
      <c r="EF105" s="1"/>
      <c r="EG105" s="98"/>
      <c r="EH105" s="98"/>
      <c r="EI105" s="1"/>
      <c r="EJ105" s="1"/>
      <c r="EK105" s="98"/>
      <c r="EL105" s="1"/>
    </row>
    <row r="106" spans="1:142">
      <c r="A106" s="32">
        <f t="shared" si="46"/>
        <v>6982</v>
      </c>
      <c r="B106" s="3" t="str">
        <f t="shared" si="47"/>
        <v>sv_statement//Statement//Export Statement&amp;PDFID=Edward Aponte_6982&amp;SO=Y</v>
      </c>
      <c r="C106" s="5" t="str">
        <f t="shared" si="88"/>
        <v>Statement</v>
      </c>
      <c r="D106" s="5" t="str">
        <f t="shared" si="48"/>
        <v>Edward Aponte_6982</v>
      </c>
      <c r="E106" s="5"/>
      <c r="F106" s="5">
        <v>6982</v>
      </c>
      <c r="G106" s="22" t="s">
        <v>369</v>
      </c>
      <c r="H106" s="5" t="s">
        <v>367</v>
      </c>
      <c r="I106" s="5" t="s">
        <v>370</v>
      </c>
      <c r="J106" s="5" t="s">
        <v>252</v>
      </c>
      <c r="K106" s="5" t="s">
        <v>253</v>
      </c>
      <c r="L106" s="31">
        <f t="shared" si="49"/>
        <v>29342</v>
      </c>
      <c r="M106" s="5" t="s">
        <v>254</v>
      </c>
      <c r="N106" s="22" t="s">
        <v>155</v>
      </c>
      <c r="O106" s="100">
        <v>37874</v>
      </c>
      <c r="P106" s="146">
        <f>VLOOKUP(I106,'Job Codes'!$B$2:$I$120,4,FALSE)</f>
        <v>23000</v>
      </c>
      <c r="Q106" s="146">
        <f>VLOOKUP(I106,'Job Codes'!$B$2:$I$120,5,FALSE)</f>
        <v>29900</v>
      </c>
      <c r="R106" s="146">
        <f>VLOOKUP(I106,'Job Codes'!$B$2:$I$120,6,FALSE)</f>
        <v>35880</v>
      </c>
      <c r="S106" s="22" t="s">
        <v>171</v>
      </c>
      <c r="T106" s="146">
        <v>28870</v>
      </c>
      <c r="U106" s="8">
        <f>VLOOKUP(S106,Data!$H$22:$I$25,2,FALSE)*T106</f>
        <v>28870</v>
      </c>
      <c r="V106" s="180">
        <f t="shared" si="50"/>
        <v>0.96555183946488299</v>
      </c>
      <c r="W106" s="180">
        <f t="shared" si="51"/>
        <v>3.5677173536543122E-2</v>
      </c>
      <c r="X106" s="22" t="str">
        <f t="shared" si="52"/>
        <v>No</v>
      </c>
      <c r="Y106" s="180">
        <f t="shared" si="53"/>
        <v>0</v>
      </c>
      <c r="Z106" s="146">
        <f t="shared" si="54"/>
        <v>0</v>
      </c>
      <c r="AA106" s="146">
        <f t="shared" si="55"/>
        <v>0</v>
      </c>
      <c r="AB106" s="72"/>
      <c r="AC106" s="146">
        <f>AB106/VLOOKUP(S106,Data!$H$22:$I$25,2,FALSE)</f>
        <v>0</v>
      </c>
      <c r="AD106" s="22" t="s">
        <v>157</v>
      </c>
      <c r="AE106" s="146">
        <f>VLOOKUP(S106,Data!$H$22:$J$25,3,FALSE)*T106</f>
        <v>866.1</v>
      </c>
      <c r="AF106" s="8">
        <f>VLOOKUP(S106,Data!$H$22:$I$25,2,FALSE)*AE106</f>
        <v>866.1</v>
      </c>
      <c r="AG106" s="8" t="s">
        <v>158</v>
      </c>
      <c r="AH106" s="23">
        <v>0.05</v>
      </c>
      <c r="AI106" s="72"/>
      <c r="AJ106" s="159">
        <f t="shared" si="56"/>
        <v>0.05</v>
      </c>
      <c r="AK106" s="168">
        <f t="shared" si="89"/>
        <v>1443.5</v>
      </c>
      <c r="AL106" s="160">
        <f t="shared" si="90"/>
        <v>1443.5</v>
      </c>
      <c r="AM106" s="168">
        <f t="shared" si="57"/>
        <v>30313.5</v>
      </c>
      <c r="AN106" s="160">
        <f t="shared" si="58"/>
        <v>30313.5</v>
      </c>
      <c r="AO106" s="160" t="str">
        <f t="shared" si="91"/>
        <v>No</v>
      </c>
      <c r="AP106" s="146">
        <f>IF(AQ106=0,0,AQ106/VLOOKUP(S106,Data!$H$22:$I$25,2,FALSE))</f>
        <v>0</v>
      </c>
      <c r="AQ106" s="183">
        <f t="shared" si="59"/>
        <v>0</v>
      </c>
      <c r="AR106" s="165">
        <f t="shared" si="60"/>
        <v>1443.5</v>
      </c>
      <c r="AS106" s="183">
        <f t="shared" si="61"/>
        <v>1443.5</v>
      </c>
      <c r="AT106" s="250">
        <f t="shared" si="62"/>
        <v>0.05</v>
      </c>
      <c r="AU106" s="146">
        <f t="shared" si="63"/>
        <v>30313.5</v>
      </c>
      <c r="AV106" s="8">
        <f t="shared" si="64"/>
        <v>30313.5</v>
      </c>
      <c r="AW106" s="8" t="str">
        <f t="shared" si="65"/>
        <v/>
      </c>
      <c r="AX106" s="180">
        <f t="shared" si="66"/>
        <v>1.0138294314381271</v>
      </c>
      <c r="AY106" s="146">
        <f t="shared" si="67"/>
        <v>0</v>
      </c>
      <c r="AZ106" s="146">
        <f t="shared" si="68"/>
        <v>0</v>
      </c>
      <c r="BA106" s="22" t="s">
        <v>159</v>
      </c>
      <c r="BB106" s="149"/>
      <c r="BC106" s="149"/>
      <c r="BD106" s="144"/>
      <c r="BE106" s="146" t="str">
        <f t="shared" si="69"/>
        <v/>
      </c>
      <c r="BF106" s="8" t="str">
        <f t="shared" si="70"/>
        <v/>
      </c>
      <c r="BG106" s="8" t="str">
        <f>IF(LEN(BC106)&gt;0,VLOOKUP(BC106,'Job Codes'!B99:I217,7,FALSE),"")</f>
        <v/>
      </c>
      <c r="BH106" s="192" t="str">
        <f>IF(LEN(BC106)&gt;0,VLOOKUP(BC106,'Job Codes'!B99:I217,8,FALSE),"")</f>
        <v/>
      </c>
      <c r="BI106" s="192" t="str">
        <f>IF(LEN(BC106)&gt;0,VLOOKUP(BC106,'Job Codes'!$B$2:$J$120,9,FALSE),"")</f>
        <v/>
      </c>
      <c r="BJ106" s="146" t="str">
        <f>IF(LEN(BC106)&gt;0,VLOOKUP(BC106,'Job Codes'!$B$2:$I$120,4,FALSE),"")</f>
        <v/>
      </c>
      <c r="BK106" s="146" t="str">
        <f>IF(LEN(BC106)&gt;0,VLOOKUP(BC106,'Job Codes'!$B$2:$I$120,5,FALSE),"")</f>
        <v/>
      </c>
      <c r="BL106" s="146" t="str">
        <f>IF(LEN(BC106)&gt;0,VLOOKUP(BC106,'Job Codes'!$B$2:$I$120,6,FALSE),"")</f>
        <v/>
      </c>
      <c r="BM106" s="168">
        <f t="shared" si="71"/>
        <v>30313.5</v>
      </c>
      <c r="BN106" s="160">
        <f t="shared" si="72"/>
        <v>30313.5</v>
      </c>
      <c r="BO106" s="22" t="s">
        <v>159</v>
      </c>
      <c r="BP106" s="157">
        <f>VLOOKUP(I106,'Job Codes'!$B$2:$I$120,8,FALSE)</f>
        <v>0</v>
      </c>
      <c r="BQ106" s="25" t="str">
        <f>IF(O106&gt;Data!$H$33,"Yes","No")</f>
        <v>No</v>
      </c>
      <c r="BR106" s="191">
        <v>0</v>
      </c>
      <c r="BS106" s="150">
        <f t="shared" si="73"/>
        <v>0</v>
      </c>
      <c r="BT106" s="25">
        <f t="shared" si="74"/>
        <v>0</v>
      </c>
      <c r="BU106" s="161">
        <v>1</v>
      </c>
      <c r="BV106" s="168">
        <f t="shared" si="75"/>
        <v>0</v>
      </c>
      <c r="BW106" s="160">
        <f t="shared" si="76"/>
        <v>0</v>
      </c>
      <c r="BX106" s="149"/>
      <c r="BY106" s="32">
        <f t="shared" si="77"/>
        <v>0</v>
      </c>
      <c r="BZ106" s="22" t="s">
        <v>159</v>
      </c>
      <c r="CA106" s="231">
        <f>VLOOKUP(I106,'Job Codes'!$B$2:$J$120,9,FALSE)</f>
        <v>0</v>
      </c>
      <c r="CB106" s="253">
        <f t="shared" si="78"/>
        <v>0</v>
      </c>
      <c r="CC106" s="72"/>
      <c r="CD106" s="25" t="str">
        <f t="shared" si="79"/>
        <v>Exceeds</v>
      </c>
      <c r="CE106" s="27"/>
      <c r="CF106" s="27"/>
      <c r="CG106" s="27"/>
      <c r="CH106" s="27"/>
      <c r="CI106" s="27"/>
      <c r="CJ106" s="3">
        <v>29271</v>
      </c>
      <c r="CK106" s="3" t="s">
        <v>255</v>
      </c>
      <c r="CL106" s="3">
        <v>4569</v>
      </c>
      <c r="CM106" s="3" t="s">
        <v>161</v>
      </c>
      <c r="CN106" s="3">
        <v>4571</v>
      </c>
      <c r="CO106" s="3" t="s">
        <v>162</v>
      </c>
      <c r="CP106" s="3">
        <v>12345</v>
      </c>
      <c r="CQ106" s="3" t="s">
        <v>163</v>
      </c>
      <c r="CR106" s="246" t="s">
        <v>164</v>
      </c>
      <c r="CS106" s="5" t="s">
        <v>165</v>
      </c>
      <c r="CT106" s="246" t="s">
        <v>256</v>
      </c>
      <c r="CU106" s="247" t="s">
        <v>257</v>
      </c>
      <c r="CV106" s="3" t="str">
        <f t="shared" si="80"/>
        <v>67890;86672</v>
      </c>
      <c r="CW106" s="3" t="s">
        <v>168</v>
      </c>
      <c r="CX106" s="3" t="str">
        <f t="shared" si="81"/>
        <v>AB106;;BB106:BD106;BU106;BX106</v>
      </c>
      <c r="CY106" s="5" t="str">
        <f t="shared" si="82"/>
        <v>Unlock</v>
      </c>
      <c r="CZ106" s="5" t="str">
        <f t="shared" si="83"/>
        <v>Lock</v>
      </c>
      <c r="DA106" s="5" t="str">
        <f t="shared" si="84"/>
        <v>Lock</v>
      </c>
      <c r="DB106" s="5" t="str">
        <f t="shared" si="85"/>
        <v>Lock</v>
      </c>
      <c r="DC106" s="5" t="str">
        <f t="shared" si="86"/>
        <v>Lock</v>
      </c>
      <c r="DD106" s="78">
        <f t="shared" si="87"/>
        <v>2</v>
      </c>
      <c r="DE106" s="2"/>
      <c r="DF106" s="2"/>
      <c r="DG106" s="2"/>
      <c r="DH106" s="2"/>
      <c r="DI106" s="2"/>
      <c r="DJ106" s="2"/>
      <c r="DK106" s="5"/>
      <c r="DL106" s="2"/>
      <c r="DM106" s="2"/>
      <c r="DN106" s="2"/>
      <c r="DO106" s="2"/>
      <c r="DP106" s="2"/>
      <c r="DQ106" s="2"/>
      <c r="DR106" s="2"/>
      <c r="DS106" s="2"/>
      <c r="DT106" s="2"/>
      <c r="DU106" s="2"/>
      <c r="DV106" s="2"/>
      <c r="DW106" s="2"/>
      <c r="DX106" s="2"/>
      <c r="DY106" s="2"/>
      <c r="DZ106" s="2"/>
      <c r="EA106" s="2"/>
      <c r="EB106" s="2"/>
      <c r="EC106" s="2"/>
      <c r="ED106" s="2"/>
      <c r="EE106" s="2"/>
      <c r="EF106" s="1"/>
      <c r="EG106" s="98"/>
      <c r="EH106" s="98"/>
      <c r="EI106" s="1"/>
      <c r="EJ106" s="1"/>
      <c r="EK106" s="98"/>
      <c r="EL106" s="1"/>
    </row>
    <row r="107" spans="1:142">
      <c r="A107" s="32">
        <f t="shared" si="46"/>
        <v>7026</v>
      </c>
      <c r="B107" s="3" t="str">
        <f t="shared" si="47"/>
        <v>sv_statement//Statement//Export Statement&amp;PDFID=Alicia Hosey_7026&amp;SO=Y</v>
      </c>
      <c r="C107" s="5" t="str">
        <f t="shared" si="88"/>
        <v>Statement</v>
      </c>
      <c r="D107" s="5" t="str">
        <f t="shared" si="48"/>
        <v>Alicia Hosey_7026</v>
      </c>
      <c r="E107" s="5"/>
      <c r="F107" s="5">
        <v>7026</v>
      </c>
      <c r="G107" s="22" t="s">
        <v>371</v>
      </c>
      <c r="H107" s="5" t="s">
        <v>367</v>
      </c>
      <c r="I107" s="5" t="s">
        <v>372</v>
      </c>
      <c r="J107" s="5" t="s">
        <v>252</v>
      </c>
      <c r="K107" s="5" t="s">
        <v>253</v>
      </c>
      <c r="L107" s="31">
        <f t="shared" si="49"/>
        <v>29342</v>
      </c>
      <c r="M107" s="5" t="s">
        <v>254</v>
      </c>
      <c r="N107" s="22" t="s">
        <v>155</v>
      </c>
      <c r="O107" s="100">
        <v>37894</v>
      </c>
      <c r="P107" s="146">
        <f>VLOOKUP(I107,'Job Codes'!$B$2:$I$120,4,FALSE)</f>
        <v>26500</v>
      </c>
      <c r="Q107" s="146">
        <f>VLOOKUP(I107,'Job Codes'!$B$2:$I$120,5,FALSE)</f>
        <v>34450</v>
      </c>
      <c r="R107" s="146">
        <f>VLOOKUP(I107,'Job Codes'!$B$2:$I$120,6,FALSE)</f>
        <v>41340</v>
      </c>
      <c r="S107" s="22" t="s">
        <v>171</v>
      </c>
      <c r="T107" s="146">
        <v>35277</v>
      </c>
      <c r="U107" s="8">
        <f>VLOOKUP(S107,Data!$H$22:$I$25,2,FALSE)*T107</f>
        <v>35277</v>
      </c>
      <c r="V107" s="180">
        <f t="shared" si="50"/>
        <v>1.0240058055152395</v>
      </c>
      <c r="W107" s="180">
        <f t="shared" si="51"/>
        <v>0</v>
      </c>
      <c r="X107" s="22" t="str">
        <f t="shared" si="52"/>
        <v>No</v>
      </c>
      <c r="Y107" s="180">
        <f t="shared" si="53"/>
        <v>0</v>
      </c>
      <c r="Z107" s="146">
        <f t="shared" si="54"/>
        <v>0</v>
      </c>
      <c r="AA107" s="146">
        <f t="shared" si="55"/>
        <v>0</v>
      </c>
      <c r="AB107" s="72"/>
      <c r="AC107" s="146">
        <f>AB107/VLOOKUP(S107,Data!$H$22:$I$25,2,FALSE)</f>
        <v>0</v>
      </c>
      <c r="AD107" s="22" t="s">
        <v>157</v>
      </c>
      <c r="AE107" s="146">
        <f>VLOOKUP(S107,Data!$H$22:$J$25,3,FALSE)*T107</f>
        <v>1058.31</v>
      </c>
      <c r="AF107" s="8">
        <f>VLOOKUP(S107,Data!$H$22:$I$25,2,FALSE)*AE107</f>
        <v>1058.31</v>
      </c>
      <c r="AG107" s="8" t="s">
        <v>158</v>
      </c>
      <c r="AH107" s="23">
        <v>3.2500000000000001E-2</v>
      </c>
      <c r="AI107" s="72"/>
      <c r="AJ107" s="159">
        <f t="shared" si="56"/>
        <v>3.2500000000000001E-2</v>
      </c>
      <c r="AK107" s="168">
        <f t="shared" si="89"/>
        <v>1146.5025000000001</v>
      </c>
      <c r="AL107" s="160">
        <f t="shared" si="90"/>
        <v>1146.5025000000001</v>
      </c>
      <c r="AM107" s="168">
        <f t="shared" si="57"/>
        <v>36423.502500000002</v>
      </c>
      <c r="AN107" s="160">
        <f t="shared" si="58"/>
        <v>36423.502500000002</v>
      </c>
      <c r="AO107" s="160" t="str">
        <f t="shared" si="91"/>
        <v>No</v>
      </c>
      <c r="AP107" s="146">
        <f>IF(AQ107=0,0,AQ107/VLOOKUP(S107,Data!$H$22:$I$25,2,FALSE))</f>
        <v>0</v>
      </c>
      <c r="AQ107" s="183">
        <f t="shared" si="59"/>
        <v>0</v>
      </c>
      <c r="AR107" s="165">
        <f t="shared" si="60"/>
        <v>1146.5025000000001</v>
      </c>
      <c r="AS107" s="183">
        <f t="shared" si="61"/>
        <v>1146.5025000000001</v>
      </c>
      <c r="AT107" s="250">
        <f t="shared" si="62"/>
        <v>3.2500000000000001E-2</v>
      </c>
      <c r="AU107" s="146">
        <f t="shared" si="63"/>
        <v>36423.502500000002</v>
      </c>
      <c r="AV107" s="8">
        <f t="shared" si="64"/>
        <v>36423.502500000002</v>
      </c>
      <c r="AW107" s="8" t="str">
        <f t="shared" si="65"/>
        <v/>
      </c>
      <c r="AX107" s="180">
        <f t="shared" si="66"/>
        <v>1.0572859941944848</v>
      </c>
      <c r="AY107" s="146">
        <f t="shared" si="67"/>
        <v>0</v>
      </c>
      <c r="AZ107" s="146">
        <f t="shared" si="68"/>
        <v>0</v>
      </c>
      <c r="BA107" s="22" t="s">
        <v>159</v>
      </c>
      <c r="BB107" s="149"/>
      <c r="BC107" s="149"/>
      <c r="BD107" s="144"/>
      <c r="BE107" s="146" t="str">
        <f t="shared" si="69"/>
        <v/>
      </c>
      <c r="BF107" s="8" t="str">
        <f t="shared" si="70"/>
        <v/>
      </c>
      <c r="BG107" s="8" t="str">
        <f>IF(LEN(BC107)&gt;0,VLOOKUP(BC107,'Job Codes'!B100:I218,7,FALSE),"")</f>
        <v/>
      </c>
      <c r="BH107" s="192" t="str">
        <f>IF(LEN(BC107)&gt;0,VLOOKUP(BC107,'Job Codes'!B100:I218,8,FALSE),"")</f>
        <v/>
      </c>
      <c r="BI107" s="192" t="str">
        <f>IF(LEN(BC107)&gt;0,VLOOKUP(BC107,'Job Codes'!$B$2:$J$120,9,FALSE),"")</f>
        <v/>
      </c>
      <c r="BJ107" s="146" t="str">
        <f>IF(LEN(BC107)&gt;0,VLOOKUP(BC107,'Job Codes'!$B$2:$I$120,4,FALSE),"")</f>
        <v/>
      </c>
      <c r="BK107" s="146" t="str">
        <f>IF(LEN(BC107)&gt;0,VLOOKUP(BC107,'Job Codes'!$B$2:$I$120,5,FALSE),"")</f>
        <v/>
      </c>
      <c r="BL107" s="146" t="str">
        <f>IF(LEN(BC107)&gt;0,VLOOKUP(BC107,'Job Codes'!$B$2:$I$120,6,FALSE),"")</f>
        <v/>
      </c>
      <c r="BM107" s="168">
        <f t="shared" si="71"/>
        <v>36423.502500000002</v>
      </c>
      <c r="BN107" s="160">
        <f t="shared" si="72"/>
        <v>36423.502500000002</v>
      </c>
      <c r="BO107" s="22" t="s">
        <v>157</v>
      </c>
      <c r="BP107" s="157">
        <f>VLOOKUP(I107,'Job Codes'!$B$2:$I$120,8,FALSE)</f>
        <v>0.05</v>
      </c>
      <c r="BQ107" s="25" t="str">
        <f>IF(O107&gt;Data!$H$33,"Yes","No")</f>
        <v>No</v>
      </c>
      <c r="BR107" s="191">
        <v>0.05</v>
      </c>
      <c r="BS107" s="150">
        <f t="shared" si="73"/>
        <v>1763.8500000000001</v>
      </c>
      <c r="BT107" s="25">
        <f t="shared" si="74"/>
        <v>1763.8500000000001</v>
      </c>
      <c r="BU107" s="161">
        <v>1</v>
      </c>
      <c r="BV107" s="168">
        <f t="shared" si="75"/>
        <v>1763.8500000000001</v>
      </c>
      <c r="BW107" s="160">
        <f t="shared" si="76"/>
        <v>1763.8500000000001</v>
      </c>
      <c r="BX107" s="149"/>
      <c r="BY107" s="32">
        <f t="shared" si="77"/>
        <v>0</v>
      </c>
      <c r="BZ107" s="22" t="s">
        <v>159</v>
      </c>
      <c r="CA107" s="231">
        <f>VLOOKUP(I107,'Job Codes'!$B$2:$J$120,9,FALSE)</f>
        <v>0</v>
      </c>
      <c r="CB107" s="253">
        <f t="shared" si="78"/>
        <v>0</v>
      </c>
      <c r="CC107" s="72"/>
      <c r="CD107" s="25" t="str">
        <f t="shared" si="79"/>
        <v>Exceeds</v>
      </c>
      <c r="CE107" s="27"/>
      <c r="CF107" s="27"/>
      <c r="CG107" s="27"/>
      <c r="CH107" s="27"/>
      <c r="CI107" s="27"/>
      <c r="CJ107" s="3">
        <v>29271</v>
      </c>
      <c r="CK107" s="3" t="s">
        <v>255</v>
      </c>
      <c r="CL107" s="3">
        <v>4569</v>
      </c>
      <c r="CM107" s="3" t="s">
        <v>161</v>
      </c>
      <c r="CN107" s="3">
        <v>4571</v>
      </c>
      <c r="CO107" s="3" t="s">
        <v>162</v>
      </c>
      <c r="CP107" s="3">
        <v>12345</v>
      </c>
      <c r="CQ107" s="3" t="s">
        <v>163</v>
      </c>
      <c r="CR107" s="246" t="s">
        <v>164</v>
      </c>
      <c r="CS107" s="5" t="s">
        <v>165</v>
      </c>
      <c r="CT107" s="246" t="s">
        <v>256</v>
      </c>
      <c r="CU107" s="247" t="s">
        <v>257</v>
      </c>
      <c r="CV107" s="3" t="str">
        <f t="shared" si="80"/>
        <v>67890;86672</v>
      </c>
      <c r="CW107" s="3" t="s">
        <v>168</v>
      </c>
      <c r="CX107" s="3" t="str">
        <f t="shared" si="81"/>
        <v>AB107;;BB107:BD107;;CC107</v>
      </c>
      <c r="CY107" s="5" t="str">
        <f t="shared" si="82"/>
        <v>Unlock</v>
      </c>
      <c r="CZ107" s="5" t="str">
        <f t="shared" si="83"/>
        <v>Lock</v>
      </c>
      <c r="DA107" s="5" t="str">
        <f t="shared" si="84"/>
        <v>Lock</v>
      </c>
      <c r="DB107" s="5" t="str">
        <f t="shared" si="85"/>
        <v>Lock</v>
      </c>
      <c r="DC107" s="5" t="str">
        <f t="shared" si="86"/>
        <v>Lock</v>
      </c>
      <c r="DD107" s="78">
        <f t="shared" si="87"/>
        <v>2</v>
      </c>
      <c r="DE107" s="2"/>
      <c r="DF107" s="2"/>
      <c r="DG107" s="2"/>
      <c r="DH107" s="2"/>
      <c r="DI107" s="2"/>
      <c r="DJ107" s="2"/>
      <c r="DK107" s="5"/>
      <c r="DL107" s="2"/>
      <c r="DM107" s="2"/>
      <c r="DN107" s="2"/>
      <c r="DO107" s="2"/>
      <c r="DP107" s="2"/>
      <c r="DQ107" s="2"/>
      <c r="DR107" s="2"/>
      <c r="DS107" s="2"/>
      <c r="DT107" s="2"/>
      <c r="DU107" s="2"/>
      <c r="DV107" s="2"/>
      <c r="DW107" s="2"/>
      <c r="DX107" s="2"/>
      <c r="DY107" s="2"/>
      <c r="DZ107" s="2"/>
      <c r="EA107" s="2"/>
      <c r="EB107" s="2"/>
      <c r="EC107" s="2"/>
      <c r="ED107" s="2"/>
      <c r="EE107" s="2"/>
      <c r="EF107" s="1"/>
      <c r="EG107" s="98"/>
      <c r="EH107" s="98"/>
      <c r="EI107" s="1"/>
      <c r="EJ107" s="1"/>
      <c r="EK107" s="98"/>
      <c r="EL107" s="1"/>
    </row>
    <row r="108" spans="1:142">
      <c r="A108" s="32">
        <f t="shared" si="46"/>
        <v>7032</v>
      </c>
      <c r="B108" s="3" t="str">
        <f t="shared" si="47"/>
        <v>sv_statement//Statement//Export Statement&amp;PDFID=Evelyn Barbosa_7032&amp;SO=Y</v>
      </c>
      <c r="C108" s="5" t="str">
        <f t="shared" si="88"/>
        <v>Statement</v>
      </c>
      <c r="D108" s="5" t="str">
        <f t="shared" si="48"/>
        <v>Evelyn Barbosa_7032</v>
      </c>
      <c r="E108" s="5"/>
      <c r="F108" s="5">
        <v>7032</v>
      </c>
      <c r="G108" s="22" t="s">
        <v>373</v>
      </c>
      <c r="H108" s="5" t="s">
        <v>367</v>
      </c>
      <c r="I108" s="5" t="s">
        <v>374</v>
      </c>
      <c r="J108" s="5" t="s">
        <v>252</v>
      </c>
      <c r="K108" s="5" t="s">
        <v>253</v>
      </c>
      <c r="L108" s="31">
        <f t="shared" si="49"/>
        <v>29342</v>
      </c>
      <c r="M108" s="5" t="s">
        <v>254</v>
      </c>
      <c r="N108" s="22" t="s">
        <v>155</v>
      </c>
      <c r="O108" s="100">
        <v>37893</v>
      </c>
      <c r="P108" s="146">
        <f>VLOOKUP(I108,'Job Codes'!$B$2:$I$120,4,FALSE)</f>
        <v>20000</v>
      </c>
      <c r="Q108" s="146">
        <f>VLOOKUP(I108,'Job Codes'!$B$2:$I$120,5,FALSE)</f>
        <v>26000</v>
      </c>
      <c r="R108" s="146">
        <f>VLOOKUP(I108,'Job Codes'!$B$2:$I$120,6,FALSE)</f>
        <v>31200</v>
      </c>
      <c r="S108" s="22" t="s">
        <v>171</v>
      </c>
      <c r="T108" s="146">
        <v>34258</v>
      </c>
      <c r="U108" s="8">
        <f>VLOOKUP(S108,Data!$H$22:$I$25,2,FALSE)*T108</f>
        <v>34258</v>
      </c>
      <c r="V108" s="180">
        <f t="shared" si="50"/>
        <v>1.3176153846153846</v>
      </c>
      <c r="W108" s="180">
        <f t="shared" si="51"/>
        <v>0</v>
      </c>
      <c r="X108" s="22" t="str">
        <f t="shared" si="52"/>
        <v>No</v>
      </c>
      <c r="Y108" s="180">
        <f t="shared" si="53"/>
        <v>0</v>
      </c>
      <c r="Z108" s="146">
        <f t="shared" si="54"/>
        <v>0</v>
      </c>
      <c r="AA108" s="146">
        <f t="shared" si="55"/>
        <v>0</v>
      </c>
      <c r="AB108" s="72"/>
      <c r="AC108" s="146">
        <f>AB108/VLOOKUP(S108,Data!$H$22:$I$25,2,FALSE)</f>
        <v>0</v>
      </c>
      <c r="AD108" s="22" t="s">
        <v>157</v>
      </c>
      <c r="AE108" s="146">
        <f>VLOOKUP(S108,Data!$H$22:$J$25,3,FALSE)*T108</f>
        <v>1027.74</v>
      </c>
      <c r="AF108" s="8">
        <f>VLOOKUP(S108,Data!$H$22:$I$25,2,FALSE)*AE108</f>
        <v>1027.74</v>
      </c>
      <c r="AG108" s="8" t="s">
        <v>172</v>
      </c>
      <c r="AH108" s="23">
        <v>0</v>
      </c>
      <c r="AI108" s="72"/>
      <c r="AJ108" s="159">
        <f t="shared" si="56"/>
        <v>0</v>
      </c>
      <c r="AK108" s="168">
        <f t="shared" si="89"/>
        <v>0</v>
      </c>
      <c r="AL108" s="160">
        <f t="shared" si="90"/>
        <v>0</v>
      </c>
      <c r="AM108" s="168">
        <f t="shared" si="57"/>
        <v>34258</v>
      </c>
      <c r="AN108" s="160">
        <f t="shared" si="58"/>
        <v>34258</v>
      </c>
      <c r="AO108" s="160" t="str">
        <f t="shared" si="91"/>
        <v>Yes by USD 3,058</v>
      </c>
      <c r="AP108" s="146">
        <f>IF(AQ108=0,0,AQ108/VLOOKUP(S108,Data!$H$22:$I$25,2,FALSE))</f>
        <v>0</v>
      </c>
      <c r="AQ108" s="183">
        <f t="shared" si="59"/>
        <v>0</v>
      </c>
      <c r="AR108" s="165">
        <f t="shared" si="60"/>
        <v>0</v>
      </c>
      <c r="AS108" s="183">
        <f t="shared" si="61"/>
        <v>0</v>
      </c>
      <c r="AT108" s="250">
        <f t="shared" si="62"/>
        <v>0</v>
      </c>
      <c r="AU108" s="146">
        <f t="shared" si="63"/>
        <v>34258</v>
      </c>
      <c r="AV108" s="8">
        <f t="shared" si="64"/>
        <v>34258</v>
      </c>
      <c r="AW108" s="8" t="str">
        <f t="shared" si="65"/>
        <v/>
      </c>
      <c r="AX108" s="180">
        <f t="shared" si="66"/>
        <v>1.3176153846153846</v>
      </c>
      <c r="AY108" s="146">
        <f t="shared" si="67"/>
        <v>0</v>
      </c>
      <c r="AZ108" s="146">
        <f t="shared" si="68"/>
        <v>0</v>
      </c>
      <c r="BA108" s="22" t="s">
        <v>159</v>
      </c>
      <c r="BB108" s="149"/>
      <c r="BC108" s="149"/>
      <c r="BD108" s="144"/>
      <c r="BE108" s="146" t="str">
        <f t="shared" si="69"/>
        <v/>
      </c>
      <c r="BF108" s="8" t="str">
        <f t="shared" si="70"/>
        <v/>
      </c>
      <c r="BG108" s="8" t="str">
        <f>IF(LEN(BC108)&gt;0,VLOOKUP(BC108,'Job Codes'!B101:I219,7,FALSE),"")</f>
        <v/>
      </c>
      <c r="BH108" s="192" t="str">
        <f>IF(LEN(BC108)&gt;0,VLOOKUP(BC108,'Job Codes'!B101:I219,8,FALSE),"")</f>
        <v/>
      </c>
      <c r="BI108" s="192" t="str">
        <f>IF(LEN(BC108)&gt;0,VLOOKUP(BC108,'Job Codes'!$B$2:$J$120,9,FALSE),"")</f>
        <v/>
      </c>
      <c r="BJ108" s="146" t="str">
        <f>IF(LEN(BC108)&gt;0,VLOOKUP(BC108,'Job Codes'!$B$2:$I$120,4,FALSE),"")</f>
        <v/>
      </c>
      <c r="BK108" s="146" t="str">
        <f>IF(LEN(BC108)&gt;0,VLOOKUP(BC108,'Job Codes'!$B$2:$I$120,5,FALSE),"")</f>
        <v/>
      </c>
      <c r="BL108" s="146" t="str">
        <f>IF(LEN(BC108)&gt;0,VLOOKUP(BC108,'Job Codes'!$B$2:$I$120,6,FALSE),"")</f>
        <v/>
      </c>
      <c r="BM108" s="168">
        <f t="shared" si="71"/>
        <v>34258</v>
      </c>
      <c r="BN108" s="160">
        <f t="shared" si="72"/>
        <v>34258</v>
      </c>
      <c r="BO108" s="22" t="s">
        <v>159</v>
      </c>
      <c r="BP108" s="157">
        <f>VLOOKUP(I108,'Job Codes'!$B$2:$I$120,8,FALSE)</f>
        <v>0</v>
      </c>
      <c r="BQ108" s="25" t="str">
        <f>IF(O108&gt;Data!$H$33,"Yes","No")</f>
        <v>No</v>
      </c>
      <c r="BR108" s="191">
        <v>0</v>
      </c>
      <c r="BS108" s="150">
        <f t="shared" si="73"/>
        <v>0</v>
      </c>
      <c r="BT108" s="25">
        <f t="shared" si="74"/>
        <v>0</v>
      </c>
      <c r="BU108" s="161">
        <v>1</v>
      </c>
      <c r="BV108" s="168">
        <f t="shared" si="75"/>
        <v>0</v>
      </c>
      <c r="BW108" s="160">
        <f t="shared" si="76"/>
        <v>0</v>
      </c>
      <c r="BX108" s="149"/>
      <c r="BY108" s="32">
        <f t="shared" si="77"/>
        <v>0</v>
      </c>
      <c r="BZ108" s="22" t="s">
        <v>159</v>
      </c>
      <c r="CA108" s="231">
        <f>VLOOKUP(I108,'Job Codes'!$B$2:$J$120,9,FALSE)</f>
        <v>0</v>
      </c>
      <c r="CB108" s="253">
        <f t="shared" si="78"/>
        <v>0</v>
      </c>
      <c r="CC108" s="72"/>
      <c r="CD108" s="25" t="str">
        <f t="shared" si="79"/>
        <v>Below</v>
      </c>
      <c r="CE108" s="27"/>
      <c r="CF108" s="27"/>
      <c r="CG108" s="27"/>
      <c r="CH108" s="27"/>
      <c r="CI108" s="27"/>
      <c r="CJ108" s="3">
        <v>29271</v>
      </c>
      <c r="CK108" s="3" t="s">
        <v>255</v>
      </c>
      <c r="CL108" s="3">
        <v>4569</v>
      </c>
      <c r="CM108" s="3" t="s">
        <v>161</v>
      </c>
      <c r="CN108" s="3">
        <v>4571</v>
      </c>
      <c r="CO108" s="3" t="s">
        <v>162</v>
      </c>
      <c r="CP108" s="3">
        <v>12345</v>
      </c>
      <c r="CQ108" s="3" t="s">
        <v>163</v>
      </c>
      <c r="CR108" s="246" t="s">
        <v>164</v>
      </c>
      <c r="CS108" s="5" t="s">
        <v>165</v>
      </c>
      <c r="CT108" s="246" t="s">
        <v>256</v>
      </c>
      <c r="CU108" s="247" t="s">
        <v>257</v>
      </c>
      <c r="CV108" s="3" t="str">
        <f t="shared" si="80"/>
        <v>67890;86672</v>
      </c>
      <c r="CW108" s="3" t="s">
        <v>168</v>
      </c>
      <c r="CX108" s="3" t="str">
        <f t="shared" si="81"/>
        <v>AB108;;BB108:BD108;BU108;BX108</v>
      </c>
      <c r="CY108" s="5" t="str">
        <f t="shared" si="82"/>
        <v>Unlock</v>
      </c>
      <c r="CZ108" s="5" t="str">
        <f t="shared" si="83"/>
        <v>Lock</v>
      </c>
      <c r="DA108" s="5" t="str">
        <f t="shared" si="84"/>
        <v>Lock</v>
      </c>
      <c r="DB108" s="5" t="str">
        <f t="shared" si="85"/>
        <v>Lock</v>
      </c>
      <c r="DC108" s="5" t="str">
        <f t="shared" si="86"/>
        <v>Lock</v>
      </c>
      <c r="DD108" s="78">
        <f t="shared" si="87"/>
        <v>2</v>
      </c>
      <c r="DE108" s="2"/>
      <c r="DF108" s="2"/>
      <c r="DG108" s="2"/>
      <c r="DH108" s="2"/>
      <c r="DI108" s="2"/>
      <c r="DJ108" s="2"/>
      <c r="DK108" s="5"/>
      <c r="DL108" s="2"/>
      <c r="DM108" s="2"/>
      <c r="DN108" s="2"/>
      <c r="DO108" s="2"/>
      <c r="DP108" s="2"/>
      <c r="DQ108" s="2"/>
      <c r="DR108" s="2"/>
      <c r="DS108" s="2"/>
      <c r="DT108" s="2"/>
      <c r="DU108" s="2"/>
      <c r="DV108" s="2"/>
      <c r="DW108" s="2"/>
      <c r="DX108" s="2"/>
      <c r="DY108" s="2"/>
      <c r="DZ108" s="2"/>
      <c r="EA108" s="2"/>
      <c r="EB108" s="2"/>
      <c r="EC108" s="2"/>
      <c r="ED108" s="2"/>
      <c r="EE108" s="2"/>
      <c r="EF108" s="1"/>
      <c r="EG108" s="98"/>
      <c r="EH108" s="98"/>
      <c r="EI108" s="1"/>
      <c r="EJ108" s="1"/>
      <c r="EK108" s="98"/>
      <c r="EL108" s="1"/>
    </row>
    <row r="109" spans="1:142">
      <c r="A109" s="32">
        <f t="shared" si="46"/>
        <v>7231</v>
      </c>
      <c r="B109" s="3" t="str">
        <f t="shared" si="47"/>
        <v>sv_statement//Statement//Export Statement&amp;PDFID=Rachel Loveland_7231&amp;SO=Y</v>
      </c>
      <c r="C109" s="5" t="str">
        <f t="shared" si="88"/>
        <v>Statement</v>
      </c>
      <c r="D109" s="5" t="str">
        <f t="shared" si="48"/>
        <v>Rachel Loveland_7231</v>
      </c>
      <c r="E109" s="5"/>
      <c r="F109" s="5">
        <v>7231</v>
      </c>
      <c r="G109" s="22" t="s">
        <v>375</v>
      </c>
      <c r="H109" s="5" t="s">
        <v>367</v>
      </c>
      <c r="I109" s="5" t="s">
        <v>376</v>
      </c>
      <c r="J109" s="5" t="s">
        <v>252</v>
      </c>
      <c r="K109" s="5" t="s">
        <v>253</v>
      </c>
      <c r="L109" s="31">
        <f t="shared" si="49"/>
        <v>29342</v>
      </c>
      <c r="M109" s="5" t="s">
        <v>254</v>
      </c>
      <c r="N109" s="22" t="s">
        <v>155</v>
      </c>
      <c r="O109" s="100">
        <v>37991</v>
      </c>
      <c r="P109" s="146">
        <f>VLOOKUP(I109,'Job Codes'!$B$2:$I$120,4,FALSE)</f>
        <v>23000</v>
      </c>
      <c r="Q109" s="146">
        <f>VLOOKUP(I109,'Job Codes'!$B$2:$I$120,5,FALSE)</f>
        <v>29900</v>
      </c>
      <c r="R109" s="146">
        <f>VLOOKUP(I109,'Job Codes'!$B$2:$I$120,6,FALSE)</f>
        <v>35880</v>
      </c>
      <c r="S109" s="22" t="s">
        <v>171</v>
      </c>
      <c r="T109" s="146">
        <v>21000</v>
      </c>
      <c r="U109" s="8">
        <f>VLOOKUP(S109,Data!$H$22:$I$25,2,FALSE)*T109</f>
        <v>21000</v>
      </c>
      <c r="V109" s="180">
        <f t="shared" si="50"/>
        <v>0.7023411371237458</v>
      </c>
      <c r="W109" s="180">
        <f t="shared" si="51"/>
        <v>0.4238095238095238</v>
      </c>
      <c r="X109" s="22" t="str">
        <f t="shared" si="52"/>
        <v>Yes</v>
      </c>
      <c r="Y109" s="180">
        <f t="shared" si="53"/>
        <v>0.02</v>
      </c>
      <c r="Z109" s="146">
        <f t="shared" si="54"/>
        <v>420</v>
      </c>
      <c r="AA109" s="146">
        <f t="shared" si="55"/>
        <v>420</v>
      </c>
      <c r="AB109" s="72"/>
      <c r="AC109" s="146">
        <f>AB109/VLOOKUP(S109,Data!$H$22:$I$25,2,FALSE)</f>
        <v>0</v>
      </c>
      <c r="AD109" s="22" t="s">
        <v>157</v>
      </c>
      <c r="AE109" s="146">
        <f>VLOOKUP(S109,Data!$H$22:$J$25,3,FALSE)*T109</f>
        <v>630</v>
      </c>
      <c r="AF109" s="8">
        <f>VLOOKUP(S109,Data!$H$22:$I$25,2,FALSE)*AE109</f>
        <v>630</v>
      </c>
      <c r="AG109" s="8" t="s">
        <v>178</v>
      </c>
      <c r="AH109" s="23">
        <v>2.5000000000000001E-2</v>
      </c>
      <c r="AI109" s="72"/>
      <c r="AJ109" s="159">
        <f t="shared" si="56"/>
        <v>2.5000000000000001E-2</v>
      </c>
      <c r="AK109" s="168">
        <f t="shared" si="89"/>
        <v>525</v>
      </c>
      <c r="AL109" s="160">
        <f t="shared" si="90"/>
        <v>525</v>
      </c>
      <c r="AM109" s="168">
        <f t="shared" si="57"/>
        <v>21525</v>
      </c>
      <c r="AN109" s="160">
        <f t="shared" si="58"/>
        <v>21525</v>
      </c>
      <c r="AO109" s="160" t="str">
        <f t="shared" si="91"/>
        <v>No</v>
      </c>
      <c r="AP109" s="146">
        <f>IF(AQ109=0,0,AQ109/VLOOKUP(S109,Data!$H$22:$I$25,2,FALSE))</f>
        <v>0</v>
      </c>
      <c r="AQ109" s="183">
        <f t="shared" si="59"/>
        <v>0</v>
      </c>
      <c r="AR109" s="165">
        <f t="shared" si="60"/>
        <v>525</v>
      </c>
      <c r="AS109" s="183">
        <f t="shared" si="61"/>
        <v>525</v>
      </c>
      <c r="AT109" s="250">
        <f t="shared" si="62"/>
        <v>2.5000000000000001E-2</v>
      </c>
      <c r="AU109" s="146">
        <f t="shared" si="63"/>
        <v>21525</v>
      </c>
      <c r="AV109" s="8">
        <f t="shared" si="64"/>
        <v>21525</v>
      </c>
      <c r="AW109" s="8" t="str">
        <f t="shared" si="65"/>
        <v/>
      </c>
      <c r="AX109" s="180">
        <f t="shared" si="66"/>
        <v>0.71989966555183948</v>
      </c>
      <c r="AY109" s="146">
        <f t="shared" si="67"/>
        <v>0</v>
      </c>
      <c r="AZ109" s="146">
        <f t="shared" si="68"/>
        <v>0</v>
      </c>
      <c r="BA109" s="22" t="s">
        <v>159</v>
      </c>
      <c r="BB109" s="149"/>
      <c r="BC109" s="149"/>
      <c r="BD109" s="144"/>
      <c r="BE109" s="146" t="str">
        <f t="shared" si="69"/>
        <v/>
      </c>
      <c r="BF109" s="8" t="str">
        <f t="shared" si="70"/>
        <v/>
      </c>
      <c r="BG109" s="8" t="str">
        <f>IF(LEN(BC109)&gt;0,VLOOKUP(BC109,'Job Codes'!B102:I220,7,FALSE),"")</f>
        <v/>
      </c>
      <c r="BH109" s="192" t="str">
        <f>IF(LEN(BC109)&gt;0,VLOOKUP(BC109,'Job Codes'!B102:I220,8,FALSE),"")</f>
        <v/>
      </c>
      <c r="BI109" s="192" t="str">
        <f>IF(LEN(BC109)&gt;0,VLOOKUP(BC109,'Job Codes'!$B$2:$J$120,9,FALSE),"")</f>
        <v/>
      </c>
      <c r="BJ109" s="146" t="str">
        <f>IF(LEN(BC109)&gt;0,VLOOKUP(BC109,'Job Codes'!$B$2:$I$120,4,FALSE),"")</f>
        <v/>
      </c>
      <c r="BK109" s="146" t="str">
        <f>IF(LEN(BC109)&gt;0,VLOOKUP(BC109,'Job Codes'!$B$2:$I$120,5,FALSE),"")</f>
        <v/>
      </c>
      <c r="BL109" s="146" t="str">
        <f>IF(LEN(BC109)&gt;0,VLOOKUP(BC109,'Job Codes'!$B$2:$I$120,6,FALSE),"")</f>
        <v/>
      </c>
      <c r="BM109" s="168">
        <f t="shared" si="71"/>
        <v>21525</v>
      </c>
      <c r="BN109" s="160">
        <f t="shared" si="72"/>
        <v>21525</v>
      </c>
      <c r="BO109" s="22" t="s">
        <v>159</v>
      </c>
      <c r="BP109" s="157">
        <f>VLOOKUP(I109,'Job Codes'!$B$2:$I$120,8,FALSE)</f>
        <v>0</v>
      </c>
      <c r="BQ109" s="25" t="str">
        <f>IF(O109&gt;Data!$H$33,"Yes","No")</f>
        <v>No</v>
      </c>
      <c r="BR109" s="191">
        <v>0</v>
      </c>
      <c r="BS109" s="150">
        <f t="shared" si="73"/>
        <v>0</v>
      </c>
      <c r="BT109" s="25">
        <f t="shared" si="74"/>
        <v>0</v>
      </c>
      <c r="BU109" s="161">
        <v>1</v>
      </c>
      <c r="BV109" s="168">
        <f t="shared" si="75"/>
        <v>0</v>
      </c>
      <c r="BW109" s="160">
        <f t="shared" si="76"/>
        <v>0</v>
      </c>
      <c r="BX109" s="149"/>
      <c r="BY109" s="32">
        <f t="shared" si="77"/>
        <v>0</v>
      </c>
      <c r="BZ109" s="22" t="s">
        <v>159</v>
      </c>
      <c r="CA109" s="231">
        <f>VLOOKUP(I109,'Job Codes'!$B$2:$J$120,9,FALSE)</f>
        <v>0</v>
      </c>
      <c r="CB109" s="253">
        <f t="shared" si="78"/>
        <v>0</v>
      </c>
      <c r="CC109" s="72"/>
      <c r="CD109" s="25" t="str">
        <f t="shared" si="79"/>
        <v>Meets</v>
      </c>
      <c r="CE109" s="27"/>
      <c r="CF109" s="27"/>
      <c r="CG109" s="27"/>
      <c r="CH109" s="27"/>
      <c r="CI109" s="27"/>
      <c r="CJ109" s="3">
        <v>29271</v>
      </c>
      <c r="CK109" s="3" t="s">
        <v>255</v>
      </c>
      <c r="CL109" s="3">
        <v>4569</v>
      </c>
      <c r="CM109" s="3" t="s">
        <v>161</v>
      </c>
      <c r="CN109" s="3">
        <v>4571</v>
      </c>
      <c r="CO109" s="3" t="s">
        <v>162</v>
      </c>
      <c r="CP109" s="3">
        <v>12345</v>
      </c>
      <c r="CQ109" s="3" t="s">
        <v>163</v>
      </c>
      <c r="CR109" s="246" t="s">
        <v>164</v>
      </c>
      <c r="CS109" s="5" t="s">
        <v>165</v>
      </c>
      <c r="CT109" s="246" t="s">
        <v>256</v>
      </c>
      <c r="CU109" s="247" t="s">
        <v>257</v>
      </c>
      <c r="CV109" s="3" t="str">
        <f t="shared" si="80"/>
        <v>67890;86672</v>
      </c>
      <c r="CW109" s="3" t="s">
        <v>168</v>
      </c>
      <c r="CX109" s="3" t="str">
        <f t="shared" si="81"/>
        <v>;;BB109:BD109;BU109;BX109</v>
      </c>
      <c r="CY109" s="5" t="str">
        <f t="shared" si="82"/>
        <v>Unlock</v>
      </c>
      <c r="CZ109" s="5" t="str">
        <f t="shared" si="83"/>
        <v>Lock</v>
      </c>
      <c r="DA109" s="5" t="str">
        <f t="shared" si="84"/>
        <v>Lock</v>
      </c>
      <c r="DB109" s="5" t="str">
        <f t="shared" si="85"/>
        <v>Lock</v>
      </c>
      <c r="DC109" s="5" t="str">
        <f t="shared" si="86"/>
        <v>Lock</v>
      </c>
      <c r="DD109" s="78">
        <f t="shared" si="87"/>
        <v>2</v>
      </c>
      <c r="DE109" s="2"/>
      <c r="DF109" s="2"/>
      <c r="DG109" s="2"/>
      <c r="DH109" s="2"/>
      <c r="DI109" s="2"/>
      <c r="DJ109" s="2"/>
      <c r="DK109" s="5"/>
      <c r="DL109" s="2"/>
      <c r="DM109" s="2"/>
      <c r="DN109" s="2"/>
      <c r="DO109" s="2"/>
      <c r="DP109" s="2"/>
      <c r="DQ109" s="2"/>
      <c r="DR109" s="2"/>
      <c r="DS109" s="2"/>
      <c r="DT109" s="2"/>
      <c r="DU109" s="2"/>
      <c r="DV109" s="2"/>
      <c r="DW109" s="2"/>
      <c r="DX109" s="2"/>
      <c r="DY109" s="2"/>
      <c r="DZ109" s="2"/>
      <c r="EA109" s="2"/>
      <c r="EB109" s="2"/>
      <c r="EC109" s="2"/>
      <c r="ED109" s="2"/>
      <c r="EE109" s="2"/>
      <c r="EF109" s="1"/>
      <c r="EG109" s="98"/>
      <c r="EH109" s="98"/>
      <c r="EI109" s="1"/>
      <c r="EJ109" s="1"/>
      <c r="EK109" s="98"/>
      <c r="EL109" s="1"/>
    </row>
    <row r="110" spans="1:142">
      <c r="A110" s="32">
        <f t="shared" si="46"/>
        <v>7297</v>
      </c>
      <c r="B110" s="3" t="str">
        <f t="shared" si="47"/>
        <v>sv_statement//Statement//Export Statement&amp;PDFID=Tamara Mackey_7297&amp;SO=Y</v>
      </c>
      <c r="C110" s="5" t="str">
        <f t="shared" si="88"/>
        <v>Statement</v>
      </c>
      <c r="D110" s="5" t="str">
        <f t="shared" si="48"/>
        <v>Tamara Mackey_7297</v>
      </c>
      <c r="E110" s="5"/>
      <c r="F110" s="5">
        <v>7297</v>
      </c>
      <c r="G110" s="22" t="s">
        <v>377</v>
      </c>
      <c r="H110" s="5" t="s">
        <v>367</v>
      </c>
      <c r="I110" s="5" t="s">
        <v>378</v>
      </c>
      <c r="J110" s="5" t="s">
        <v>252</v>
      </c>
      <c r="K110" s="5" t="s">
        <v>253</v>
      </c>
      <c r="L110" s="31">
        <f t="shared" si="49"/>
        <v>29342</v>
      </c>
      <c r="M110" s="5" t="s">
        <v>254</v>
      </c>
      <c r="N110" s="22" t="s">
        <v>155</v>
      </c>
      <c r="O110" s="100">
        <v>38005</v>
      </c>
      <c r="P110" s="146">
        <f>VLOOKUP(I110,'Job Codes'!$B$2:$I$120,4,FALSE)</f>
        <v>26500</v>
      </c>
      <c r="Q110" s="146">
        <f>VLOOKUP(I110,'Job Codes'!$B$2:$I$120,5,FALSE)</f>
        <v>34450</v>
      </c>
      <c r="R110" s="146">
        <f>VLOOKUP(I110,'Job Codes'!$B$2:$I$120,6,FALSE)</f>
        <v>41340</v>
      </c>
      <c r="S110" s="22" t="s">
        <v>171</v>
      </c>
      <c r="T110" s="146">
        <v>27539</v>
      </c>
      <c r="U110" s="8">
        <f>VLOOKUP(S110,Data!$H$22:$I$25,2,FALSE)*T110</f>
        <v>27539</v>
      </c>
      <c r="V110" s="180">
        <f t="shared" si="50"/>
        <v>0.7993904208998549</v>
      </c>
      <c r="W110" s="180">
        <f t="shared" si="51"/>
        <v>0.25095319365263807</v>
      </c>
      <c r="X110" s="22" t="str">
        <f t="shared" si="52"/>
        <v>Yes</v>
      </c>
      <c r="Y110" s="180">
        <f t="shared" si="53"/>
        <v>0.02</v>
      </c>
      <c r="Z110" s="146">
        <f t="shared" si="54"/>
        <v>550.78</v>
      </c>
      <c r="AA110" s="146">
        <f t="shared" si="55"/>
        <v>550.78</v>
      </c>
      <c r="AB110" s="72"/>
      <c r="AC110" s="146">
        <f>AB110/VLOOKUP(S110,Data!$H$22:$I$25,2,FALSE)</f>
        <v>0</v>
      </c>
      <c r="AD110" s="22" t="s">
        <v>157</v>
      </c>
      <c r="AE110" s="146">
        <f>VLOOKUP(S110,Data!$H$22:$J$25,3,FALSE)*T110</f>
        <v>826.17</v>
      </c>
      <c r="AF110" s="8">
        <f>VLOOKUP(S110,Data!$H$22:$I$25,2,FALSE)*AE110</f>
        <v>826.17</v>
      </c>
      <c r="AG110" s="8" t="s">
        <v>158</v>
      </c>
      <c r="AH110" s="23">
        <v>0.03</v>
      </c>
      <c r="AI110" s="72"/>
      <c r="AJ110" s="159">
        <f t="shared" si="56"/>
        <v>0.03</v>
      </c>
      <c r="AK110" s="168">
        <f t="shared" si="89"/>
        <v>826.17</v>
      </c>
      <c r="AL110" s="160">
        <f t="shared" si="90"/>
        <v>826.17</v>
      </c>
      <c r="AM110" s="168">
        <f t="shared" si="57"/>
        <v>28365.17</v>
      </c>
      <c r="AN110" s="160">
        <f t="shared" si="58"/>
        <v>28365.17</v>
      </c>
      <c r="AO110" s="160" t="str">
        <f t="shared" si="91"/>
        <v>No</v>
      </c>
      <c r="AP110" s="146">
        <f>IF(AQ110=0,0,AQ110/VLOOKUP(S110,Data!$H$22:$I$25,2,FALSE))</f>
        <v>0</v>
      </c>
      <c r="AQ110" s="183">
        <f t="shared" si="59"/>
        <v>0</v>
      </c>
      <c r="AR110" s="165">
        <f t="shared" si="60"/>
        <v>826.17</v>
      </c>
      <c r="AS110" s="183">
        <f t="shared" si="61"/>
        <v>826.17</v>
      </c>
      <c r="AT110" s="250">
        <f t="shared" si="62"/>
        <v>0.03</v>
      </c>
      <c r="AU110" s="146">
        <f t="shared" si="63"/>
        <v>28365.17</v>
      </c>
      <c r="AV110" s="8">
        <f t="shared" si="64"/>
        <v>28365.17</v>
      </c>
      <c r="AW110" s="8" t="str">
        <f t="shared" si="65"/>
        <v/>
      </c>
      <c r="AX110" s="180">
        <f t="shared" si="66"/>
        <v>0.82337213352685046</v>
      </c>
      <c r="AY110" s="146">
        <f t="shared" si="67"/>
        <v>0</v>
      </c>
      <c r="AZ110" s="146">
        <f t="shared" si="68"/>
        <v>0</v>
      </c>
      <c r="BA110" s="22" t="s">
        <v>159</v>
      </c>
      <c r="BB110" s="149"/>
      <c r="BC110" s="149"/>
      <c r="BD110" s="144"/>
      <c r="BE110" s="146" t="str">
        <f t="shared" si="69"/>
        <v/>
      </c>
      <c r="BF110" s="8" t="str">
        <f t="shared" si="70"/>
        <v/>
      </c>
      <c r="BG110" s="8" t="str">
        <f>IF(LEN(BC110)&gt;0,VLOOKUP(BC110,'Job Codes'!B103:I221,7,FALSE),"")</f>
        <v/>
      </c>
      <c r="BH110" s="192" t="str">
        <f>IF(LEN(BC110)&gt;0,VLOOKUP(BC110,'Job Codes'!B103:I221,8,FALSE),"")</f>
        <v/>
      </c>
      <c r="BI110" s="192" t="str">
        <f>IF(LEN(BC110)&gt;0,VLOOKUP(BC110,'Job Codes'!$B$2:$J$120,9,FALSE),"")</f>
        <v/>
      </c>
      <c r="BJ110" s="146" t="str">
        <f>IF(LEN(BC110)&gt;0,VLOOKUP(BC110,'Job Codes'!$B$2:$I$120,4,FALSE),"")</f>
        <v/>
      </c>
      <c r="BK110" s="146" t="str">
        <f>IF(LEN(BC110)&gt;0,VLOOKUP(BC110,'Job Codes'!$B$2:$I$120,5,FALSE),"")</f>
        <v/>
      </c>
      <c r="BL110" s="146" t="str">
        <f>IF(LEN(BC110)&gt;0,VLOOKUP(BC110,'Job Codes'!$B$2:$I$120,6,FALSE),"")</f>
        <v/>
      </c>
      <c r="BM110" s="168">
        <f t="shared" si="71"/>
        <v>28365.17</v>
      </c>
      <c r="BN110" s="160">
        <f t="shared" si="72"/>
        <v>28365.17</v>
      </c>
      <c r="BO110" s="22" t="s">
        <v>157</v>
      </c>
      <c r="BP110" s="157">
        <f>VLOOKUP(I110,'Job Codes'!$B$2:$I$120,8,FALSE)</f>
        <v>0.05</v>
      </c>
      <c r="BQ110" s="25" t="str">
        <f>IF(O110&gt;Data!$H$33,"Yes","No")</f>
        <v>No</v>
      </c>
      <c r="BR110" s="191">
        <v>0.05</v>
      </c>
      <c r="BS110" s="150">
        <f t="shared" si="73"/>
        <v>1376.95</v>
      </c>
      <c r="BT110" s="25">
        <f t="shared" si="74"/>
        <v>1376.95</v>
      </c>
      <c r="BU110" s="161">
        <v>1</v>
      </c>
      <c r="BV110" s="168">
        <f t="shared" si="75"/>
        <v>1376.95</v>
      </c>
      <c r="BW110" s="160">
        <f t="shared" si="76"/>
        <v>1376.95</v>
      </c>
      <c r="BX110" s="149"/>
      <c r="BY110" s="32">
        <f t="shared" si="77"/>
        <v>0</v>
      </c>
      <c r="BZ110" s="22" t="s">
        <v>159</v>
      </c>
      <c r="CA110" s="231">
        <f>VLOOKUP(I110,'Job Codes'!$B$2:$J$120,9,FALSE)</f>
        <v>0</v>
      </c>
      <c r="CB110" s="253">
        <f t="shared" si="78"/>
        <v>0</v>
      </c>
      <c r="CC110" s="72"/>
      <c r="CD110" s="25" t="str">
        <f t="shared" si="79"/>
        <v>Exceeds</v>
      </c>
      <c r="CE110" s="27"/>
      <c r="CF110" s="27"/>
      <c r="CG110" s="27"/>
      <c r="CH110" s="27"/>
      <c r="CI110" s="27"/>
      <c r="CJ110" s="3">
        <v>29271</v>
      </c>
      <c r="CK110" s="3" t="s">
        <v>255</v>
      </c>
      <c r="CL110" s="3">
        <v>4569</v>
      </c>
      <c r="CM110" s="3" t="s">
        <v>161</v>
      </c>
      <c r="CN110" s="3">
        <v>4571</v>
      </c>
      <c r="CO110" s="3" t="s">
        <v>162</v>
      </c>
      <c r="CP110" s="3">
        <v>12345</v>
      </c>
      <c r="CQ110" s="3" t="s">
        <v>163</v>
      </c>
      <c r="CR110" s="246" t="s">
        <v>164</v>
      </c>
      <c r="CS110" s="5" t="s">
        <v>165</v>
      </c>
      <c r="CT110" s="246" t="s">
        <v>256</v>
      </c>
      <c r="CU110" s="247" t="s">
        <v>257</v>
      </c>
      <c r="CV110" s="3" t="str">
        <f t="shared" si="80"/>
        <v>67890;86672</v>
      </c>
      <c r="CW110" s="3" t="s">
        <v>168</v>
      </c>
      <c r="CX110" s="3" t="str">
        <f t="shared" si="81"/>
        <v>;;BB110:BD110;;CC110</v>
      </c>
      <c r="CY110" s="5" t="str">
        <f t="shared" si="82"/>
        <v>Unlock</v>
      </c>
      <c r="CZ110" s="5" t="str">
        <f t="shared" si="83"/>
        <v>Lock</v>
      </c>
      <c r="DA110" s="5" t="str">
        <f t="shared" si="84"/>
        <v>Lock</v>
      </c>
      <c r="DB110" s="5" t="str">
        <f t="shared" si="85"/>
        <v>Lock</v>
      </c>
      <c r="DC110" s="5" t="str">
        <f t="shared" si="86"/>
        <v>Lock</v>
      </c>
      <c r="DD110" s="78">
        <f t="shared" si="87"/>
        <v>2</v>
      </c>
      <c r="DE110" s="2"/>
      <c r="DF110" s="2"/>
      <c r="DG110" s="2"/>
      <c r="DH110" s="2"/>
      <c r="DI110" s="2"/>
      <c r="DJ110" s="2"/>
      <c r="DK110" s="5"/>
      <c r="DL110" s="2"/>
      <c r="DM110" s="2"/>
      <c r="DN110" s="2"/>
      <c r="DO110" s="2"/>
      <c r="DP110" s="2"/>
      <c r="DQ110" s="2"/>
      <c r="DR110" s="2"/>
      <c r="DS110" s="2"/>
      <c r="DT110" s="2"/>
      <c r="DU110" s="2"/>
      <c r="DV110" s="2"/>
      <c r="DW110" s="2"/>
      <c r="DX110" s="2"/>
      <c r="DY110" s="2"/>
      <c r="DZ110" s="2"/>
      <c r="EA110" s="2"/>
      <c r="EB110" s="2"/>
      <c r="EC110" s="2"/>
      <c r="ED110" s="2"/>
      <c r="EE110" s="2"/>
      <c r="EF110" s="1"/>
      <c r="EG110" s="98"/>
      <c r="EH110" s="98"/>
      <c r="EI110" s="1"/>
      <c r="EJ110" s="1"/>
      <c r="EK110" s="98"/>
      <c r="EL110" s="1"/>
    </row>
    <row r="111" spans="1:142">
      <c r="A111" s="32">
        <f t="shared" si="46"/>
        <v>7329</v>
      </c>
      <c r="B111" s="3" t="str">
        <f t="shared" si="47"/>
        <v>sv_statement//Statement//Export Statement&amp;PDFID=Wendy List_7329&amp;SO=Y</v>
      </c>
      <c r="C111" s="5" t="str">
        <f t="shared" si="88"/>
        <v>Statement</v>
      </c>
      <c r="D111" s="5" t="str">
        <f t="shared" si="48"/>
        <v>Wendy List_7329</v>
      </c>
      <c r="E111" s="5"/>
      <c r="F111" s="5">
        <v>7329</v>
      </c>
      <c r="G111" s="22" t="s">
        <v>379</v>
      </c>
      <c r="H111" s="5" t="s">
        <v>367</v>
      </c>
      <c r="I111" s="5" t="s">
        <v>380</v>
      </c>
      <c r="J111" s="5" t="s">
        <v>252</v>
      </c>
      <c r="K111" s="5" t="s">
        <v>253</v>
      </c>
      <c r="L111" s="31">
        <f t="shared" si="49"/>
        <v>29342</v>
      </c>
      <c r="M111" s="5" t="s">
        <v>254</v>
      </c>
      <c r="N111" s="22" t="s">
        <v>155</v>
      </c>
      <c r="O111" s="100">
        <v>38001</v>
      </c>
      <c r="P111" s="146">
        <f>VLOOKUP(I111,'Job Codes'!$B$2:$I$120,4,FALSE)</f>
        <v>20000</v>
      </c>
      <c r="Q111" s="146">
        <f>VLOOKUP(I111,'Job Codes'!$B$2:$I$120,5,FALSE)</f>
        <v>26000</v>
      </c>
      <c r="R111" s="146">
        <f>VLOOKUP(I111,'Job Codes'!$B$2:$I$120,6,FALSE)</f>
        <v>31200</v>
      </c>
      <c r="S111" s="22" t="s">
        <v>171</v>
      </c>
      <c r="T111" s="146">
        <v>20000</v>
      </c>
      <c r="U111" s="8">
        <f>VLOOKUP(S111,Data!$H$22:$I$25,2,FALSE)*T111</f>
        <v>20000</v>
      </c>
      <c r="V111" s="180">
        <f t="shared" si="50"/>
        <v>0.76923076923076927</v>
      </c>
      <c r="W111" s="180">
        <f t="shared" si="51"/>
        <v>0.3</v>
      </c>
      <c r="X111" s="22" t="str">
        <f t="shared" si="52"/>
        <v>Yes</v>
      </c>
      <c r="Y111" s="180">
        <f t="shared" si="53"/>
        <v>0.02</v>
      </c>
      <c r="Z111" s="146">
        <f t="shared" si="54"/>
        <v>400</v>
      </c>
      <c r="AA111" s="146">
        <f t="shared" si="55"/>
        <v>400</v>
      </c>
      <c r="AB111" s="72"/>
      <c r="AC111" s="146">
        <f>AB111/VLOOKUP(S111,Data!$H$22:$I$25,2,FALSE)</f>
        <v>0</v>
      </c>
      <c r="AD111" s="22" t="s">
        <v>157</v>
      </c>
      <c r="AE111" s="146">
        <f>VLOOKUP(S111,Data!$H$22:$J$25,3,FALSE)*T111</f>
        <v>600</v>
      </c>
      <c r="AF111" s="8">
        <f>VLOOKUP(S111,Data!$H$22:$I$25,2,FALSE)*AE111</f>
        <v>600</v>
      </c>
      <c r="AG111" s="8" t="s">
        <v>178</v>
      </c>
      <c r="AH111" s="23">
        <v>1.4999999999999999E-2</v>
      </c>
      <c r="AI111" s="72"/>
      <c r="AJ111" s="159">
        <f t="shared" si="56"/>
        <v>1.4999999999999999E-2</v>
      </c>
      <c r="AK111" s="168">
        <f t="shared" si="89"/>
        <v>300</v>
      </c>
      <c r="AL111" s="160">
        <f t="shared" si="90"/>
        <v>300</v>
      </c>
      <c r="AM111" s="168">
        <f t="shared" si="57"/>
        <v>20300</v>
      </c>
      <c r="AN111" s="160">
        <f t="shared" si="58"/>
        <v>20300</v>
      </c>
      <c r="AO111" s="160" t="str">
        <f t="shared" si="91"/>
        <v>No</v>
      </c>
      <c r="AP111" s="146">
        <f>IF(AQ111=0,0,AQ111/VLOOKUP(S111,Data!$H$22:$I$25,2,FALSE))</f>
        <v>0</v>
      </c>
      <c r="AQ111" s="183">
        <f t="shared" si="59"/>
        <v>0</v>
      </c>
      <c r="AR111" s="165">
        <f t="shared" si="60"/>
        <v>300</v>
      </c>
      <c r="AS111" s="183">
        <f t="shared" si="61"/>
        <v>300</v>
      </c>
      <c r="AT111" s="250">
        <f t="shared" si="62"/>
        <v>1.4999999999999999E-2</v>
      </c>
      <c r="AU111" s="146">
        <f t="shared" si="63"/>
        <v>20300</v>
      </c>
      <c r="AV111" s="8">
        <f t="shared" si="64"/>
        <v>20300</v>
      </c>
      <c r="AW111" s="8" t="str">
        <f t="shared" si="65"/>
        <v/>
      </c>
      <c r="AX111" s="180">
        <f t="shared" si="66"/>
        <v>0.78076923076923077</v>
      </c>
      <c r="AY111" s="146">
        <f t="shared" si="67"/>
        <v>0</v>
      </c>
      <c r="AZ111" s="146">
        <f t="shared" si="68"/>
        <v>0</v>
      </c>
      <c r="BA111" s="22" t="s">
        <v>159</v>
      </c>
      <c r="BB111" s="149"/>
      <c r="BC111" s="149"/>
      <c r="BD111" s="144"/>
      <c r="BE111" s="146" t="str">
        <f t="shared" si="69"/>
        <v/>
      </c>
      <c r="BF111" s="8" t="str">
        <f t="shared" si="70"/>
        <v/>
      </c>
      <c r="BG111" s="8" t="str">
        <f>IF(LEN(BC111)&gt;0,VLOOKUP(BC111,'Job Codes'!B104:I222,7,FALSE),"")</f>
        <v/>
      </c>
      <c r="BH111" s="192" t="str">
        <f>IF(LEN(BC111)&gt;0,VLOOKUP(BC111,'Job Codes'!B104:I222,8,FALSE),"")</f>
        <v/>
      </c>
      <c r="BI111" s="192" t="str">
        <f>IF(LEN(BC111)&gt;0,VLOOKUP(BC111,'Job Codes'!$B$2:$J$120,9,FALSE),"")</f>
        <v/>
      </c>
      <c r="BJ111" s="146" t="str">
        <f>IF(LEN(BC111)&gt;0,VLOOKUP(BC111,'Job Codes'!$B$2:$I$120,4,FALSE),"")</f>
        <v/>
      </c>
      <c r="BK111" s="146" t="str">
        <f>IF(LEN(BC111)&gt;0,VLOOKUP(BC111,'Job Codes'!$B$2:$I$120,5,FALSE),"")</f>
        <v/>
      </c>
      <c r="BL111" s="146" t="str">
        <f>IF(LEN(BC111)&gt;0,VLOOKUP(BC111,'Job Codes'!$B$2:$I$120,6,FALSE),"")</f>
        <v/>
      </c>
      <c r="BM111" s="168">
        <f t="shared" si="71"/>
        <v>20300</v>
      </c>
      <c r="BN111" s="160">
        <f t="shared" si="72"/>
        <v>20300</v>
      </c>
      <c r="BO111" s="22" t="s">
        <v>159</v>
      </c>
      <c r="BP111" s="157">
        <f>VLOOKUP(I111,'Job Codes'!$B$2:$I$120,8,FALSE)</f>
        <v>0</v>
      </c>
      <c r="BQ111" s="25" t="str">
        <f>IF(O111&gt;Data!$H$33,"Yes","No")</f>
        <v>No</v>
      </c>
      <c r="BR111" s="191">
        <v>0</v>
      </c>
      <c r="BS111" s="150">
        <f t="shared" si="73"/>
        <v>0</v>
      </c>
      <c r="BT111" s="25">
        <f t="shared" si="74"/>
        <v>0</v>
      </c>
      <c r="BU111" s="161">
        <v>1</v>
      </c>
      <c r="BV111" s="168">
        <f t="shared" si="75"/>
        <v>0</v>
      </c>
      <c r="BW111" s="160">
        <f t="shared" si="76"/>
        <v>0</v>
      </c>
      <c r="BX111" s="149"/>
      <c r="BY111" s="32">
        <f t="shared" si="77"/>
        <v>0</v>
      </c>
      <c r="BZ111" s="22" t="s">
        <v>159</v>
      </c>
      <c r="CA111" s="231">
        <f>VLOOKUP(I111,'Job Codes'!$B$2:$J$120,9,FALSE)</f>
        <v>0</v>
      </c>
      <c r="CB111" s="253">
        <f t="shared" si="78"/>
        <v>0</v>
      </c>
      <c r="CC111" s="72"/>
      <c r="CD111" s="25" t="str">
        <f t="shared" si="79"/>
        <v>Meets</v>
      </c>
      <c r="CE111" s="27"/>
      <c r="CF111" s="27"/>
      <c r="CG111" s="27"/>
      <c r="CH111" s="27"/>
      <c r="CI111" s="27"/>
      <c r="CJ111" s="3">
        <v>29271</v>
      </c>
      <c r="CK111" s="3" t="s">
        <v>255</v>
      </c>
      <c r="CL111" s="3">
        <v>4569</v>
      </c>
      <c r="CM111" s="3" t="s">
        <v>161</v>
      </c>
      <c r="CN111" s="3">
        <v>4571</v>
      </c>
      <c r="CO111" s="3" t="s">
        <v>162</v>
      </c>
      <c r="CP111" s="3">
        <v>12345</v>
      </c>
      <c r="CQ111" s="3" t="s">
        <v>163</v>
      </c>
      <c r="CR111" s="246" t="s">
        <v>164</v>
      </c>
      <c r="CS111" s="5" t="s">
        <v>165</v>
      </c>
      <c r="CT111" s="246" t="s">
        <v>256</v>
      </c>
      <c r="CU111" s="247" t="s">
        <v>257</v>
      </c>
      <c r="CV111" s="3" t="str">
        <f t="shared" si="80"/>
        <v>67890;86672</v>
      </c>
      <c r="CW111" s="3" t="s">
        <v>168</v>
      </c>
      <c r="CX111" s="3" t="str">
        <f t="shared" si="81"/>
        <v>;;BB111:BD111;BU111;BX111</v>
      </c>
      <c r="CY111" s="5" t="str">
        <f t="shared" si="82"/>
        <v>Unlock</v>
      </c>
      <c r="CZ111" s="5" t="str">
        <f t="shared" si="83"/>
        <v>Lock</v>
      </c>
      <c r="DA111" s="5" t="str">
        <f t="shared" si="84"/>
        <v>Lock</v>
      </c>
      <c r="DB111" s="5" t="str">
        <f t="shared" si="85"/>
        <v>Lock</v>
      </c>
      <c r="DC111" s="5" t="str">
        <f t="shared" si="86"/>
        <v>Lock</v>
      </c>
      <c r="DD111" s="78">
        <f t="shared" si="87"/>
        <v>2</v>
      </c>
      <c r="DE111" s="2"/>
      <c r="DF111" s="2"/>
      <c r="DG111" s="2"/>
      <c r="DH111" s="2"/>
      <c r="DI111" s="2"/>
      <c r="DJ111" s="2"/>
      <c r="DK111" s="5"/>
      <c r="DL111" s="2"/>
      <c r="DM111" s="2"/>
      <c r="DN111" s="2"/>
      <c r="DO111" s="2"/>
      <c r="DP111" s="2"/>
      <c r="DQ111" s="2"/>
      <c r="DR111" s="2"/>
      <c r="DS111" s="2"/>
      <c r="DT111" s="2"/>
      <c r="DU111" s="2"/>
      <c r="DV111" s="2"/>
      <c r="DW111" s="2"/>
      <c r="DX111" s="2"/>
      <c r="DY111" s="2"/>
      <c r="DZ111" s="2"/>
      <c r="EA111" s="2"/>
      <c r="EB111" s="2"/>
      <c r="EC111" s="2"/>
      <c r="ED111" s="2"/>
      <c r="EE111" s="2"/>
      <c r="EF111" s="1"/>
      <c r="EG111" s="98"/>
      <c r="EH111" s="98"/>
      <c r="EI111" s="1"/>
      <c r="EJ111" s="1"/>
      <c r="EK111" s="98"/>
      <c r="EL111" s="1"/>
    </row>
    <row r="112" spans="1:142">
      <c r="A112" s="32">
        <f t="shared" si="46"/>
        <v>7344</v>
      </c>
      <c r="B112" s="3" t="str">
        <f t="shared" si="47"/>
        <v>sv_statement//Statement//Export Statement&amp;PDFID=Julie Inkster_7344&amp;SO=Y</v>
      </c>
      <c r="C112" s="5" t="str">
        <f t="shared" si="88"/>
        <v>Statement</v>
      </c>
      <c r="D112" s="5" t="str">
        <f t="shared" si="48"/>
        <v>Julie Inkster_7344</v>
      </c>
      <c r="E112" s="5"/>
      <c r="F112" s="5">
        <v>7344</v>
      </c>
      <c r="G112" s="22" t="s">
        <v>381</v>
      </c>
      <c r="H112" s="5" t="s">
        <v>367</v>
      </c>
      <c r="I112" s="5" t="s">
        <v>382</v>
      </c>
      <c r="J112" s="5" t="s">
        <v>252</v>
      </c>
      <c r="K112" s="5" t="s">
        <v>253</v>
      </c>
      <c r="L112" s="31">
        <f t="shared" si="49"/>
        <v>29342</v>
      </c>
      <c r="M112" s="5" t="s">
        <v>254</v>
      </c>
      <c r="N112" s="22" t="s">
        <v>155</v>
      </c>
      <c r="O112" s="100">
        <v>38008</v>
      </c>
      <c r="P112" s="146">
        <f>VLOOKUP(I112,'Job Codes'!$B$2:$I$120,4,FALSE)</f>
        <v>23000</v>
      </c>
      <c r="Q112" s="146">
        <f>VLOOKUP(I112,'Job Codes'!$B$2:$I$120,5,FALSE)</f>
        <v>29900</v>
      </c>
      <c r="R112" s="146">
        <f>VLOOKUP(I112,'Job Codes'!$B$2:$I$120,6,FALSE)</f>
        <v>35880</v>
      </c>
      <c r="S112" s="22" t="s">
        <v>171</v>
      </c>
      <c r="T112" s="146">
        <v>30000</v>
      </c>
      <c r="U112" s="8">
        <f>VLOOKUP(S112,Data!$H$22:$I$25,2,FALSE)*T112</f>
        <v>30000</v>
      </c>
      <c r="V112" s="180">
        <f t="shared" si="50"/>
        <v>1.0033444816053512</v>
      </c>
      <c r="W112" s="180">
        <f t="shared" si="51"/>
        <v>0</v>
      </c>
      <c r="X112" s="22" t="str">
        <f t="shared" si="52"/>
        <v>No</v>
      </c>
      <c r="Y112" s="180">
        <f t="shared" si="53"/>
        <v>0</v>
      </c>
      <c r="Z112" s="146">
        <f t="shared" si="54"/>
        <v>0</v>
      </c>
      <c r="AA112" s="146">
        <f t="shared" si="55"/>
        <v>0</v>
      </c>
      <c r="AB112" s="72"/>
      <c r="AC112" s="146">
        <f>AB112/VLOOKUP(S112,Data!$H$22:$I$25,2,FALSE)</f>
        <v>0</v>
      </c>
      <c r="AD112" s="22" t="s">
        <v>157</v>
      </c>
      <c r="AE112" s="146">
        <f>VLOOKUP(S112,Data!$H$22:$J$25,3,FALSE)*T112</f>
        <v>900</v>
      </c>
      <c r="AF112" s="8">
        <f>VLOOKUP(S112,Data!$H$22:$I$25,2,FALSE)*AE112</f>
        <v>900</v>
      </c>
      <c r="AG112" s="8" t="s">
        <v>158</v>
      </c>
      <c r="AH112" s="23">
        <v>4.4999999999999998E-2</v>
      </c>
      <c r="AI112" s="72"/>
      <c r="AJ112" s="159">
        <f t="shared" si="56"/>
        <v>4.4999999999999998E-2</v>
      </c>
      <c r="AK112" s="168">
        <f t="shared" si="89"/>
        <v>1350</v>
      </c>
      <c r="AL112" s="160">
        <f t="shared" si="90"/>
        <v>1350</v>
      </c>
      <c r="AM112" s="168">
        <f t="shared" si="57"/>
        <v>31350</v>
      </c>
      <c r="AN112" s="160">
        <f t="shared" si="58"/>
        <v>31350</v>
      </c>
      <c r="AO112" s="160" t="str">
        <f t="shared" si="91"/>
        <v>No</v>
      </c>
      <c r="AP112" s="146">
        <f>IF(AQ112=0,0,AQ112/VLOOKUP(S112,Data!$H$22:$I$25,2,FALSE))</f>
        <v>0</v>
      </c>
      <c r="AQ112" s="183">
        <f t="shared" si="59"/>
        <v>0</v>
      </c>
      <c r="AR112" s="165">
        <f t="shared" si="60"/>
        <v>1350</v>
      </c>
      <c r="AS112" s="183">
        <f t="shared" si="61"/>
        <v>1350</v>
      </c>
      <c r="AT112" s="250">
        <f t="shared" si="62"/>
        <v>4.4999999999999998E-2</v>
      </c>
      <c r="AU112" s="146">
        <f t="shared" si="63"/>
        <v>31350</v>
      </c>
      <c r="AV112" s="8">
        <f t="shared" si="64"/>
        <v>31350</v>
      </c>
      <c r="AW112" s="8" t="str">
        <f t="shared" si="65"/>
        <v/>
      </c>
      <c r="AX112" s="180">
        <f t="shared" si="66"/>
        <v>1.0484949832775921</v>
      </c>
      <c r="AY112" s="146">
        <f t="shared" si="67"/>
        <v>0</v>
      </c>
      <c r="AZ112" s="146">
        <f t="shared" si="68"/>
        <v>0</v>
      </c>
      <c r="BA112" s="22" t="s">
        <v>159</v>
      </c>
      <c r="BB112" s="149"/>
      <c r="BC112" s="149"/>
      <c r="BD112" s="144"/>
      <c r="BE112" s="146" t="str">
        <f t="shared" si="69"/>
        <v/>
      </c>
      <c r="BF112" s="8" t="str">
        <f t="shared" si="70"/>
        <v/>
      </c>
      <c r="BG112" s="8" t="str">
        <f>IF(LEN(BC112)&gt;0,VLOOKUP(BC112,'Job Codes'!B105:I223,7,FALSE),"")</f>
        <v/>
      </c>
      <c r="BH112" s="192" t="str">
        <f>IF(LEN(BC112)&gt;0,VLOOKUP(BC112,'Job Codes'!B105:I223,8,FALSE),"")</f>
        <v/>
      </c>
      <c r="BI112" s="192" t="str">
        <f>IF(LEN(BC112)&gt;0,VLOOKUP(BC112,'Job Codes'!$B$2:$J$120,9,FALSE),"")</f>
        <v/>
      </c>
      <c r="BJ112" s="146" t="str">
        <f>IF(LEN(BC112)&gt;0,VLOOKUP(BC112,'Job Codes'!$B$2:$I$120,4,FALSE),"")</f>
        <v/>
      </c>
      <c r="BK112" s="146" t="str">
        <f>IF(LEN(BC112)&gt;0,VLOOKUP(BC112,'Job Codes'!$B$2:$I$120,5,FALSE),"")</f>
        <v/>
      </c>
      <c r="BL112" s="146" t="str">
        <f>IF(LEN(BC112)&gt;0,VLOOKUP(BC112,'Job Codes'!$B$2:$I$120,6,FALSE),"")</f>
        <v/>
      </c>
      <c r="BM112" s="168">
        <f t="shared" si="71"/>
        <v>31350</v>
      </c>
      <c r="BN112" s="160">
        <f t="shared" si="72"/>
        <v>31350</v>
      </c>
      <c r="BO112" s="22" t="s">
        <v>159</v>
      </c>
      <c r="BP112" s="157">
        <f>VLOOKUP(I112,'Job Codes'!$B$2:$I$120,8,FALSE)</f>
        <v>0</v>
      </c>
      <c r="BQ112" s="25" t="str">
        <f>IF(O112&gt;Data!$H$33,"Yes","No")</f>
        <v>No</v>
      </c>
      <c r="BR112" s="191">
        <v>0</v>
      </c>
      <c r="BS112" s="150">
        <f t="shared" si="73"/>
        <v>0</v>
      </c>
      <c r="BT112" s="25">
        <f t="shared" si="74"/>
        <v>0</v>
      </c>
      <c r="BU112" s="161">
        <v>1</v>
      </c>
      <c r="BV112" s="168">
        <f t="shared" si="75"/>
        <v>0</v>
      </c>
      <c r="BW112" s="160">
        <f t="shared" si="76"/>
        <v>0</v>
      </c>
      <c r="BX112" s="149"/>
      <c r="BY112" s="32">
        <f t="shared" si="77"/>
        <v>0</v>
      </c>
      <c r="BZ112" s="22" t="s">
        <v>159</v>
      </c>
      <c r="CA112" s="231">
        <f>VLOOKUP(I112,'Job Codes'!$B$2:$J$120,9,FALSE)</f>
        <v>0</v>
      </c>
      <c r="CB112" s="253">
        <f t="shared" si="78"/>
        <v>0</v>
      </c>
      <c r="CC112" s="72"/>
      <c r="CD112" s="25" t="str">
        <f t="shared" si="79"/>
        <v>Exceeds</v>
      </c>
      <c r="CE112" s="27"/>
      <c r="CF112" s="27"/>
      <c r="CG112" s="27"/>
      <c r="CH112" s="27"/>
      <c r="CI112" s="27"/>
      <c r="CJ112" s="3">
        <v>29271</v>
      </c>
      <c r="CK112" s="3" t="s">
        <v>255</v>
      </c>
      <c r="CL112" s="3">
        <v>4569</v>
      </c>
      <c r="CM112" s="3" t="s">
        <v>161</v>
      </c>
      <c r="CN112" s="3">
        <v>4571</v>
      </c>
      <c r="CO112" s="3" t="s">
        <v>162</v>
      </c>
      <c r="CP112" s="3">
        <v>12345</v>
      </c>
      <c r="CQ112" s="3" t="s">
        <v>163</v>
      </c>
      <c r="CR112" s="246" t="s">
        <v>164</v>
      </c>
      <c r="CS112" s="5" t="s">
        <v>165</v>
      </c>
      <c r="CT112" s="246" t="s">
        <v>256</v>
      </c>
      <c r="CU112" s="247" t="s">
        <v>257</v>
      </c>
      <c r="CV112" s="3" t="str">
        <f t="shared" si="80"/>
        <v>67890;86672</v>
      </c>
      <c r="CW112" s="3" t="s">
        <v>168</v>
      </c>
      <c r="CX112" s="3" t="str">
        <f t="shared" si="81"/>
        <v>AB112;;BB112:BD112;BU112;BX112</v>
      </c>
      <c r="CY112" s="5" t="str">
        <f t="shared" si="82"/>
        <v>Unlock</v>
      </c>
      <c r="CZ112" s="5" t="str">
        <f t="shared" si="83"/>
        <v>Lock</v>
      </c>
      <c r="DA112" s="5" t="str">
        <f t="shared" si="84"/>
        <v>Lock</v>
      </c>
      <c r="DB112" s="5" t="str">
        <f t="shared" si="85"/>
        <v>Lock</v>
      </c>
      <c r="DC112" s="5" t="str">
        <f t="shared" si="86"/>
        <v>Lock</v>
      </c>
      <c r="DD112" s="78">
        <f t="shared" si="87"/>
        <v>2</v>
      </c>
      <c r="DE112" s="2"/>
      <c r="DF112" s="2"/>
      <c r="DG112" s="2"/>
      <c r="DH112" s="2"/>
      <c r="DI112" s="2"/>
      <c r="DJ112" s="2"/>
      <c r="DK112" s="5"/>
      <c r="DL112" s="2"/>
      <c r="DM112" s="2"/>
      <c r="DN112" s="2"/>
      <c r="DO112" s="2"/>
      <c r="DP112" s="2"/>
      <c r="DQ112" s="2"/>
      <c r="DR112" s="2"/>
      <c r="DS112" s="2"/>
      <c r="DT112" s="2"/>
      <c r="DU112" s="2"/>
      <c r="DV112" s="2"/>
      <c r="DW112" s="2"/>
      <c r="DX112" s="2"/>
      <c r="DY112" s="2"/>
      <c r="DZ112" s="2"/>
      <c r="EA112" s="2"/>
      <c r="EB112" s="2"/>
      <c r="EC112" s="2"/>
      <c r="ED112" s="2"/>
      <c r="EE112" s="2"/>
      <c r="EF112" s="1"/>
      <c r="EG112" s="98"/>
      <c r="EH112" s="98"/>
      <c r="EI112" s="1"/>
      <c r="EJ112" s="1"/>
      <c r="EK112" s="98"/>
      <c r="EL112" s="1"/>
    </row>
    <row r="113" spans="1:142">
      <c r="A113" s="32">
        <f t="shared" si="46"/>
        <v>7462</v>
      </c>
      <c r="B113" s="3" t="str">
        <f t="shared" si="47"/>
        <v>sv_statement//Statement//Export Statement&amp;PDFID=Erika Friday_7462&amp;SO=Y</v>
      </c>
      <c r="C113" s="5" t="str">
        <f t="shared" si="88"/>
        <v>Statement</v>
      </c>
      <c r="D113" s="5" t="str">
        <f t="shared" si="48"/>
        <v>Erika Friday_7462</v>
      </c>
      <c r="E113" s="5"/>
      <c r="F113" s="5">
        <v>7462</v>
      </c>
      <c r="G113" s="22" t="s">
        <v>383</v>
      </c>
      <c r="H113" s="5" t="s">
        <v>367</v>
      </c>
      <c r="I113" s="5" t="s">
        <v>384</v>
      </c>
      <c r="J113" s="5" t="s">
        <v>252</v>
      </c>
      <c r="K113" s="5" t="s">
        <v>253</v>
      </c>
      <c r="L113" s="31">
        <f t="shared" si="49"/>
        <v>29342</v>
      </c>
      <c r="M113" s="5" t="s">
        <v>254</v>
      </c>
      <c r="N113" s="22" t="s">
        <v>155</v>
      </c>
      <c r="O113" s="100">
        <v>38019</v>
      </c>
      <c r="P113" s="146">
        <f>VLOOKUP(I113,'Job Codes'!$B$2:$I$120,4,FALSE)</f>
        <v>26500</v>
      </c>
      <c r="Q113" s="146">
        <f>VLOOKUP(I113,'Job Codes'!$B$2:$I$120,5,FALSE)</f>
        <v>34450</v>
      </c>
      <c r="R113" s="146">
        <f>VLOOKUP(I113,'Job Codes'!$B$2:$I$120,6,FALSE)</f>
        <v>41340</v>
      </c>
      <c r="S113" s="22" t="s">
        <v>171</v>
      </c>
      <c r="T113" s="146">
        <v>29578</v>
      </c>
      <c r="U113" s="8">
        <f>VLOOKUP(S113,Data!$H$22:$I$25,2,FALSE)*T113</f>
        <v>29578</v>
      </c>
      <c r="V113" s="180">
        <f t="shared" si="50"/>
        <v>0.85857764876632803</v>
      </c>
      <c r="W113" s="180">
        <f t="shared" si="51"/>
        <v>0.1647170194063155</v>
      </c>
      <c r="X113" s="22" t="str">
        <f t="shared" si="52"/>
        <v>Yes</v>
      </c>
      <c r="Y113" s="180">
        <f t="shared" si="53"/>
        <v>0.02</v>
      </c>
      <c r="Z113" s="146">
        <f t="shared" si="54"/>
        <v>591.56000000000006</v>
      </c>
      <c r="AA113" s="146">
        <f t="shared" si="55"/>
        <v>591.56000000000006</v>
      </c>
      <c r="AB113" s="72"/>
      <c r="AC113" s="146">
        <f>AB113/VLOOKUP(S113,Data!$H$22:$I$25,2,FALSE)</f>
        <v>0</v>
      </c>
      <c r="AD113" s="22" t="s">
        <v>157</v>
      </c>
      <c r="AE113" s="146">
        <f>VLOOKUP(S113,Data!$H$22:$J$25,3,FALSE)*T113</f>
        <v>887.33999999999992</v>
      </c>
      <c r="AF113" s="8">
        <f>VLOOKUP(S113,Data!$H$22:$I$25,2,FALSE)*AE113</f>
        <v>887.33999999999992</v>
      </c>
      <c r="AG113" s="8" t="s">
        <v>158</v>
      </c>
      <c r="AH113" s="23">
        <v>0.05</v>
      </c>
      <c r="AI113" s="72"/>
      <c r="AJ113" s="159">
        <f t="shared" si="56"/>
        <v>0.05</v>
      </c>
      <c r="AK113" s="168">
        <f t="shared" si="89"/>
        <v>1478.9</v>
      </c>
      <c r="AL113" s="160">
        <f t="shared" si="90"/>
        <v>1478.9</v>
      </c>
      <c r="AM113" s="168">
        <f t="shared" si="57"/>
        <v>31056.9</v>
      </c>
      <c r="AN113" s="160">
        <f t="shared" si="58"/>
        <v>31056.9</v>
      </c>
      <c r="AO113" s="160" t="str">
        <f t="shared" si="91"/>
        <v>No</v>
      </c>
      <c r="AP113" s="146">
        <f>IF(AQ113=0,0,AQ113/VLOOKUP(S113,Data!$H$22:$I$25,2,FALSE))</f>
        <v>0</v>
      </c>
      <c r="AQ113" s="183">
        <f t="shared" si="59"/>
        <v>0</v>
      </c>
      <c r="AR113" s="165">
        <f t="shared" si="60"/>
        <v>1478.9</v>
      </c>
      <c r="AS113" s="183">
        <f t="shared" si="61"/>
        <v>1478.9</v>
      </c>
      <c r="AT113" s="250">
        <f t="shared" si="62"/>
        <v>0.05</v>
      </c>
      <c r="AU113" s="146">
        <f t="shared" si="63"/>
        <v>31056.9</v>
      </c>
      <c r="AV113" s="8">
        <f t="shared" si="64"/>
        <v>31056.9</v>
      </c>
      <c r="AW113" s="8" t="str">
        <f t="shared" si="65"/>
        <v/>
      </c>
      <c r="AX113" s="180">
        <f t="shared" si="66"/>
        <v>0.90150653120464441</v>
      </c>
      <c r="AY113" s="146">
        <f t="shared" si="67"/>
        <v>0</v>
      </c>
      <c r="AZ113" s="146">
        <f t="shared" si="68"/>
        <v>0</v>
      </c>
      <c r="BA113" s="22" t="s">
        <v>159</v>
      </c>
      <c r="BB113" s="149"/>
      <c r="BC113" s="149"/>
      <c r="BD113" s="144"/>
      <c r="BE113" s="146" t="str">
        <f t="shared" si="69"/>
        <v/>
      </c>
      <c r="BF113" s="8" t="str">
        <f t="shared" si="70"/>
        <v/>
      </c>
      <c r="BG113" s="8" t="str">
        <f>IF(LEN(BC113)&gt;0,VLOOKUP(BC113,'Job Codes'!B106:I224,7,FALSE),"")</f>
        <v/>
      </c>
      <c r="BH113" s="192" t="str">
        <f>IF(LEN(BC113)&gt;0,VLOOKUP(BC113,'Job Codes'!B106:I224,8,FALSE),"")</f>
        <v/>
      </c>
      <c r="BI113" s="192" t="str">
        <f>IF(LEN(BC113)&gt;0,VLOOKUP(BC113,'Job Codes'!$B$2:$J$120,9,FALSE),"")</f>
        <v/>
      </c>
      <c r="BJ113" s="146" t="str">
        <f>IF(LEN(BC113)&gt;0,VLOOKUP(BC113,'Job Codes'!$B$2:$I$120,4,FALSE),"")</f>
        <v/>
      </c>
      <c r="BK113" s="146" t="str">
        <f>IF(LEN(BC113)&gt;0,VLOOKUP(BC113,'Job Codes'!$B$2:$I$120,5,FALSE),"")</f>
        <v/>
      </c>
      <c r="BL113" s="146" t="str">
        <f>IF(LEN(BC113)&gt;0,VLOOKUP(BC113,'Job Codes'!$B$2:$I$120,6,FALSE),"")</f>
        <v/>
      </c>
      <c r="BM113" s="168">
        <f t="shared" si="71"/>
        <v>31056.9</v>
      </c>
      <c r="BN113" s="160">
        <f t="shared" si="72"/>
        <v>31056.9</v>
      </c>
      <c r="BO113" s="22" t="s">
        <v>157</v>
      </c>
      <c r="BP113" s="157">
        <f>VLOOKUP(I113,'Job Codes'!$B$2:$I$120,8,FALSE)</f>
        <v>0.05</v>
      </c>
      <c r="BQ113" s="25" t="str">
        <f>IF(O113&gt;Data!$H$33,"Yes","No")</f>
        <v>No</v>
      </c>
      <c r="BR113" s="191">
        <v>0.05</v>
      </c>
      <c r="BS113" s="150">
        <f t="shared" si="73"/>
        <v>1478.9</v>
      </c>
      <c r="BT113" s="25">
        <f t="shared" si="74"/>
        <v>1478.9</v>
      </c>
      <c r="BU113" s="161">
        <v>1</v>
      </c>
      <c r="BV113" s="168">
        <f t="shared" si="75"/>
        <v>1478.9</v>
      </c>
      <c r="BW113" s="160">
        <f t="shared" si="76"/>
        <v>1478.9</v>
      </c>
      <c r="BX113" s="149"/>
      <c r="BY113" s="32">
        <f t="shared" si="77"/>
        <v>0</v>
      </c>
      <c r="BZ113" s="22" t="s">
        <v>159</v>
      </c>
      <c r="CA113" s="231">
        <f>VLOOKUP(I113,'Job Codes'!$B$2:$J$120,9,FALSE)</f>
        <v>0</v>
      </c>
      <c r="CB113" s="253">
        <f t="shared" si="78"/>
        <v>0</v>
      </c>
      <c r="CC113" s="72"/>
      <c r="CD113" s="25" t="str">
        <f t="shared" si="79"/>
        <v>Exceeds</v>
      </c>
      <c r="CE113" s="27"/>
      <c r="CF113" s="27"/>
      <c r="CG113" s="27"/>
      <c r="CH113" s="27"/>
      <c r="CI113" s="27"/>
      <c r="CJ113" s="3">
        <v>29271</v>
      </c>
      <c r="CK113" s="3" t="s">
        <v>255</v>
      </c>
      <c r="CL113" s="3">
        <v>4569</v>
      </c>
      <c r="CM113" s="3" t="s">
        <v>161</v>
      </c>
      <c r="CN113" s="3">
        <v>4571</v>
      </c>
      <c r="CO113" s="3" t="s">
        <v>162</v>
      </c>
      <c r="CP113" s="3">
        <v>12345</v>
      </c>
      <c r="CQ113" s="3" t="s">
        <v>163</v>
      </c>
      <c r="CR113" s="246" t="s">
        <v>164</v>
      </c>
      <c r="CS113" s="5" t="s">
        <v>165</v>
      </c>
      <c r="CT113" s="246" t="s">
        <v>256</v>
      </c>
      <c r="CU113" s="247" t="s">
        <v>257</v>
      </c>
      <c r="CV113" s="3" t="str">
        <f t="shared" si="80"/>
        <v>67890;86672</v>
      </c>
      <c r="CW113" s="3" t="s">
        <v>168</v>
      </c>
      <c r="CX113" s="3" t="str">
        <f t="shared" si="81"/>
        <v>;;BB113:BD113;;CC113</v>
      </c>
      <c r="CY113" s="5" t="str">
        <f t="shared" si="82"/>
        <v>Unlock</v>
      </c>
      <c r="CZ113" s="5" t="str">
        <f t="shared" si="83"/>
        <v>Lock</v>
      </c>
      <c r="DA113" s="5" t="str">
        <f t="shared" si="84"/>
        <v>Lock</v>
      </c>
      <c r="DB113" s="5" t="str">
        <f t="shared" si="85"/>
        <v>Lock</v>
      </c>
      <c r="DC113" s="5" t="str">
        <f t="shared" si="86"/>
        <v>Lock</v>
      </c>
      <c r="DD113" s="78">
        <f t="shared" si="87"/>
        <v>2</v>
      </c>
      <c r="DE113" s="2"/>
      <c r="DF113" s="2"/>
      <c r="DG113" s="2"/>
      <c r="DH113" s="2"/>
      <c r="DI113" s="2"/>
      <c r="DJ113" s="2"/>
      <c r="DK113" s="5"/>
      <c r="DL113" s="2"/>
      <c r="DM113" s="2"/>
      <c r="DN113" s="2"/>
      <c r="DO113" s="2"/>
      <c r="DP113" s="2"/>
      <c r="DQ113" s="2"/>
      <c r="DR113" s="2"/>
      <c r="DS113" s="2"/>
      <c r="DT113" s="2"/>
      <c r="DU113" s="2"/>
      <c r="DV113" s="2"/>
      <c r="DW113" s="2"/>
      <c r="DX113" s="2"/>
      <c r="DY113" s="2"/>
      <c r="DZ113" s="2"/>
      <c r="EA113" s="2"/>
      <c r="EB113" s="2"/>
      <c r="EC113" s="2"/>
      <c r="ED113" s="2"/>
      <c r="EE113" s="2"/>
      <c r="EF113" s="1"/>
      <c r="EG113" s="98"/>
      <c r="EH113" s="98"/>
      <c r="EI113" s="1"/>
      <c r="EJ113" s="1"/>
      <c r="EK113" s="98"/>
      <c r="EL113" s="1"/>
    </row>
    <row r="114" spans="1:142">
      <c r="A114" s="32">
        <f t="shared" si="46"/>
        <v>7542</v>
      </c>
      <c r="B114" s="3" t="str">
        <f t="shared" si="47"/>
        <v>sv_statement//Statement//Export Statement&amp;PDFID=Blanche Bixler_7542&amp;SO=Y</v>
      </c>
      <c r="C114" s="5" t="str">
        <f t="shared" si="88"/>
        <v>Statement</v>
      </c>
      <c r="D114" s="5" t="str">
        <f t="shared" si="48"/>
        <v>Blanche Bixler_7542</v>
      </c>
      <c r="E114" s="5"/>
      <c r="F114" s="5">
        <v>7542</v>
      </c>
      <c r="G114" s="22" t="s">
        <v>385</v>
      </c>
      <c r="H114" s="5" t="s">
        <v>367</v>
      </c>
      <c r="I114" s="5" t="s">
        <v>386</v>
      </c>
      <c r="J114" s="5" t="s">
        <v>252</v>
      </c>
      <c r="K114" s="5" t="s">
        <v>253</v>
      </c>
      <c r="L114" s="31">
        <f t="shared" si="49"/>
        <v>29342</v>
      </c>
      <c r="M114" s="5" t="s">
        <v>254</v>
      </c>
      <c r="N114" s="22" t="s">
        <v>155</v>
      </c>
      <c r="O114" s="100">
        <v>38026</v>
      </c>
      <c r="P114" s="146">
        <f>VLOOKUP(I114,'Job Codes'!$B$2:$I$120,4,FALSE)</f>
        <v>23000</v>
      </c>
      <c r="Q114" s="146">
        <f>VLOOKUP(I114,'Job Codes'!$B$2:$I$120,5,FALSE)</f>
        <v>29900</v>
      </c>
      <c r="R114" s="146">
        <f>VLOOKUP(I114,'Job Codes'!$B$2:$I$120,6,FALSE)</f>
        <v>35880</v>
      </c>
      <c r="S114" s="22" t="s">
        <v>171</v>
      </c>
      <c r="T114" s="146">
        <v>32240</v>
      </c>
      <c r="U114" s="8">
        <f>VLOOKUP(S114,Data!$H$22:$I$25,2,FALSE)*T114</f>
        <v>32240</v>
      </c>
      <c r="V114" s="180">
        <f t="shared" si="50"/>
        <v>1.0782608695652174</v>
      </c>
      <c r="W114" s="180">
        <f t="shared" si="51"/>
        <v>0</v>
      </c>
      <c r="X114" s="22" t="str">
        <f t="shared" si="52"/>
        <v>No</v>
      </c>
      <c r="Y114" s="180">
        <f t="shared" si="53"/>
        <v>0</v>
      </c>
      <c r="Z114" s="146">
        <f t="shared" si="54"/>
        <v>0</v>
      </c>
      <c r="AA114" s="146">
        <f t="shared" si="55"/>
        <v>0</v>
      </c>
      <c r="AB114" s="72"/>
      <c r="AC114" s="146">
        <f>AB114/VLOOKUP(S114,Data!$H$22:$I$25,2,FALSE)</f>
        <v>0</v>
      </c>
      <c r="AD114" s="22" t="s">
        <v>157</v>
      </c>
      <c r="AE114" s="146">
        <f>VLOOKUP(S114,Data!$H$22:$J$25,3,FALSE)*T114</f>
        <v>967.19999999999993</v>
      </c>
      <c r="AF114" s="8">
        <f>VLOOKUP(S114,Data!$H$22:$I$25,2,FALSE)*AE114</f>
        <v>967.19999999999993</v>
      </c>
      <c r="AG114" s="8" t="s">
        <v>178</v>
      </c>
      <c r="AH114" s="23">
        <v>2.5000000000000001E-2</v>
      </c>
      <c r="AI114" s="72"/>
      <c r="AJ114" s="159">
        <f t="shared" si="56"/>
        <v>2.5000000000000001E-2</v>
      </c>
      <c r="AK114" s="168">
        <f t="shared" si="89"/>
        <v>806</v>
      </c>
      <c r="AL114" s="160">
        <f t="shared" si="90"/>
        <v>806</v>
      </c>
      <c r="AM114" s="168">
        <f t="shared" si="57"/>
        <v>33046</v>
      </c>
      <c r="AN114" s="160">
        <f t="shared" si="58"/>
        <v>33046</v>
      </c>
      <c r="AO114" s="160" t="str">
        <f t="shared" si="91"/>
        <v>No</v>
      </c>
      <c r="AP114" s="146">
        <f>IF(AQ114=0,0,AQ114/VLOOKUP(S114,Data!$H$22:$I$25,2,FALSE))</f>
        <v>0</v>
      </c>
      <c r="AQ114" s="183">
        <f t="shared" si="59"/>
        <v>0</v>
      </c>
      <c r="AR114" s="165">
        <f t="shared" si="60"/>
        <v>806</v>
      </c>
      <c r="AS114" s="183">
        <f t="shared" si="61"/>
        <v>806</v>
      </c>
      <c r="AT114" s="250">
        <f t="shared" si="62"/>
        <v>2.5000000000000001E-2</v>
      </c>
      <c r="AU114" s="146">
        <f t="shared" si="63"/>
        <v>33046</v>
      </c>
      <c r="AV114" s="8">
        <f t="shared" si="64"/>
        <v>33046</v>
      </c>
      <c r="AW114" s="8" t="str">
        <f t="shared" si="65"/>
        <v/>
      </c>
      <c r="AX114" s="180">
        <f t="shared" si="66"/>
        <v>1.1052173913043479</v>
      </c>
      <c r="AY114" s="146">
        <f t="shared" si="67"/>
        <v>0</v>
      </c>
      <c r="AZ114" s="146">
        <f t="shared" si="68"/>
        <v>0</v>
      </c>
      <c r="BA114" s="22" t="s">
        <v>159</v>
      </c>
      <c r="BB114" s="149"/>
      <c r="BC114" s="149"/>
      <c r="BD114" s="144"/>
      <c r="BE114" s="146" t="str">
        <f t="shared" si="69"/>
        <v/>
      </c>
      <c r="BF114" s="8" t="str">
        <f t="shared" si="70"/>
        <v/>
      </c>
      <c r="BG114" s="8" t="str">
        <f>IF(LEN(BC114)&gt;0,VLOOKUP(BC114,'Job Codes'!B107:I225,7,FALSE),"")</f>
        <v/>
      </c>
      <c r="BH114" s="192" t="str">
        <f>IF(LEN(BC114)&gt;0,VLOOKUP(BC114,'Job Codes'!B107:I225,8,FALSE),"")</f>
        <v/>
      </c>
      <c r="BI114" s="192" t="str">
        <f>IF(LEN(BC114)&gt;0,VLOOKUP(BC114,'Job Codes'!$B$2:$J$120,9,FALSE),"")</f>
        <v/>
      </c>
      <c r="BJ114" s="146" t="str">
        <f>IF(LEN(BC114)&gt;0,VLOOKUP(BC114,'Job Codes'!$B$2:$I$120,4,FALSE),"")</f>
        <v/>
      </c>
      <c r="BK114" s="146" t="str">
        <f>IF(LEN(BC114)&gt;0,VLOOKUP(BC114,'Job Codes'!$B$2:$I$120,5,FALSE),"")</f>
        <v/>
      </c>
      <c r="BL114" s="146" t="str">
        <f>IF(LEN(BC114)&gt;0,VLOOKUP(BC114,'Job Codes'!$B$2:$I$120,6,FALSE),"")</f>
        <v/>
      </c>
      <c r="BM114" s="168">
        <f t="shared" si="71"/>
        <v>33046</v>
      </c>
      <c r="BN114" s="160">
        <f t="shared" si="72"/>
        <v>33046</v>
      </c>
      <c r="BO114" s="22" t="s">
        <v>159</v>
      </c>
      <c r="BP114" s="157">
        <f>VLOOKUP(I114,'Job Codes'!$B$2:$I$120,8,FALSE)</f>
        <v>0</v>
      </c>
      <c r="BQ114" s="25" t="str">
        <f>IF(O114&gt;Data!$H$33,"Yes","No")</f>
        <v>No</v>
      </c>
      <c r="BR114" s="191">
        <v>0</v>
      </c>
      <c r="BS114" s="150">
        <f t="shared" si="73"/>
        <v>0</v>
      </c>
      <c r="BT114" s="25">
        <f t="shared" si="74"/>
        <v>0</v>
      </c>
      <c r="BU114" s="161">
        <v>1</v>
      </c>
      <c r="BV114" s="168">
        <f t="shared" si="75"/>
        <v>0</v>
      </c>
      <c r="BW114" s="160">
        <f t="shared" si="76"/>
        <v>0</v>
      </c>
      <c r="BX114" s="149"/>
      <c r="BY114" s="32">
        <f t="shared" si="77"/>
        <v>0</v>
      </c>
      <c r="BZ114" s="22" t="s">
        <v>159</v>
      </c>
      <c r="CA114" s="231">
        <f>VLOOKUP(I114,'Job Codes'!$B$2:$J$120,9,FALSE)</f>
        <v>0</v>
      </c>
      <c r="CB114" s="253">
        <f t="shared" si="78"/>
        <v>0</v>
      </c>
      <c r="CC114" s="72"/>
      <c r="CD114" s="25" t="str">
        <f t="shared" si="79"/>
        <v>Meets</v>
      </c>
      <c r="CE114" s="27"/>
      <c r="CF114" s="27"/>
      <c r="CG114" s="27"/>
      <c r="CH114" s="27"/>
      <c r="CI114" s="27"/>
      <c r="CJ114" s="3">
        <v>29271</v>
      </c>
      <c r="CK114" s="3" t="s">
        <v>255</v>
      </c>
      <c r="CL114" s="3">
        <v>4569</v>
      </c>
      <c r="CM114" s="3" t="s">
        <v>161</v>
      </c>
      <c r="CN114" s="3">
        <v>4571</v>
      </c>
      <c r="CO114" s="3" t="s">
        <v>162</v>
      </c>
      <c r="CP114" s="3">
        <v>12345</v>
      </c>
      <c r="CQ114" s="3" t="s">
        <v>163</v>
      </c>
      <c r="CR114" s="246" t="s">
        <v>164</v>
      </c>
      <c r="CS114" s="5" t="s">
        <v>165</v>
      </c>
      <c r="CT114" s="246" t="s">
        <v>256</v>
      </c>
      <c r="CU114" s="247" t="s">
        <v>257</v>
      </c>
      <c r="CV114" s="3" t="str">
        <f t="shared" si="80"/>
        <v>67890;86672</v>
      </c>
      <c r="CW114" s="3" t="s">
        <v>168</v>
      </c>
      <c r="CX114" s="3" t="str">
        <f t="shared" si="81"/>
        <v>AB114;;BB114:BD114;BU114;BX114</v>
      </c>
      <c r="CY114" s="5" t="str">
        <f t="shared" si="82"/>
        <v>Unlock</v>
      </c>
      <c r="CZ114" s="5" t="str">
        <f t="shared" si="83"/>
        <v>Lock</v>
      </c>
      <c r="DA114" s="5" t="str">
        <f t="shared" si="84"/>
        <v>Lock</v>
      </c>
      <c r="DB114" s="5" t="str">
        <f t="shared" si="85"/>
        <v>Lock</v>
      </c>
      <c r="DC114" s="5" t="str">
        <f t="shared" si="86"/>
        <v>Lock</v>
      </c>
      <c r="DD114" s="78">
        <f t="shared" si="87"/>
        <v>2</v>
      </c>
      <c r="DE114" s="2"/>
      <c r="DF114" s="2"/>
      <c r="DG114" s="2"/>
      <c r="DH114" s="2"/>
      <c r="DI114" s="2"/>
      <c r="DJ114" s="2"/>
      <c r="DK114" s="5"/>
      <c r="DL114" s="2"/>
      <c r="DM114" s="2"/>
      <c r="DN114" s="2"/>
      <c r="DO114" s="2"/>
      <c r="DP114" s="2"/>
      <c r="DQ114" s="2"/>
      <c r="DR114" s="2"/>
      <c r="DS114" s="2"/>
      <c r="DT114" s="2"/>
      <c r="DU114" s="2"/>
      <c r="DV114" s="2"/>
      <c r="DW114" s="2"/>
      <c r="DX114" s="2"/>
      <c r="DY114" s="2"/>
      <c r="DZ114" s="2"/>
      <c r="EA114" s="2"/>
      <c r="EB114" s="2"/>
      <c r="EC114" s="2"/>
      <c r="ED114" s="2"/>
      <c r="EE114" s="2"/>
      <c r="EF114" s="1"/>
      <c r="EG114" s="98"/>
      <c r="EH114" s="98"/>
      <c r="EI114" s="1"/>
      <c r="EJ114" s="1"/>
      <c r="EK114" s="98"/>
      <c r="EL114" s="1"/>
    </row>
    <row r="115" spans="1:142">
      <c r="A115" s="32">
        <f t="shared" si="46"/>
        <v>7655</v>
      </c>
      <c r="B115" s="3" t="str">
        <f t="shared" si="47"/>
        <v>sv_statement//Statement//Export Statement&amp;PDFID=Jeremy Thorp_7655&amp;SO=Y</v>
      </c>
      <c r="C115" s="5" t="str">
        <f t="shared" si="88"/>
        <v>Statement</v>
      </c>
      <c r="D115" s="5" t="str">
        <f t="shared" si="48"/>
        <v>Jeremy Thorp_7655</v>
      </c>
      <c r="E115" s="5"/>
      <c r="F115" s="5">
        <v>7655</v>
      </c>
      <c r="G115" s="22" t="s">
        <v>387</v>
      </c>
      <c r="H115" s="5" t="s">
        <v>214</v>
      </c>
      <c r="I115" s="5" t="s">
        <v>388</v>
      </c>
      <c r="J115" s="5" t="s">
        <v>208</v>
      </c>
      <c r="K115" s="5" t="s">
        <v>209</v>
      </c>
      <c r="L115" s="31">
        <f t="shared" si="49"/>
        <v>20714</v>
      </c>
      <c r="M115" s="5" t="s">
        <v>198</v>
      </c>
      <c r="N115" s="22" t="s">
        <v>155</v>
      </c>
      <c r="O115" s="100">
        <v>38432</v>
      </c>
      <c r="P115" s="146">
        <f>VLOOKUP(I115,'Job Codes'!$B$2:$I$120,4,FALSE)</f>
        <v>29000</v>
      </c>
      <c r="Q115" s="146">
        <f>VLOOKUP(I115,'Job Codes'!$B$2:$I$120,5,FALSE)</f>
        <v>37700</v>
      </c>
      <c r="R115" s="146">
        <f>VLOOKUP(I115,'Job Codes'!$B$2:$I$120,6,FALSE)</f>
        <v>45240</v>
      </c>
      <c r="S115" s="22" t="s">
        <v>171</v>
      </c>
      <c r="T115" s="146">
        <v>33821</v>
      </c>
      <c r="U115" s="8">
        <f>VLOOKUP(S115,Data!$H$22:$I$25,2,FALSE)*T115</f>
        <v>33821</v>
      </c>
      <c r="V115" s="180">
        <f t="shared" si="50"/>
        <v>0.89710875331564988</v>
      </c>
      <c r="W115" s="180">
        <f t="shared" si="51"/>
        <v>0.11469205523195648</v>
      </c>
      <c r="X115" s="22" t="str">
        <f t="shared" si="52"/>
        <v>Yes</v>
      </c>
      <c r="Y115" s="180">
        <f t="shared" si="53"/>
        <v>0.02</v>
      </c>
      <c r="Z115" s="146">
        <f t="shared" si="54"/>
        <v>676.42</v>
      </c>
      <c r="AA115" s="146">
        <f t="shared" si="55"/>
        <v>676.42</v>
      </c>
      <c r="AB115" s="72"/>
      <c r="AC115" s="146">
        <f>AB115/VLOOKUP(S115,Data!$H$22:$I$25,2,FALSE)</f>
        <v>0</v>
      </c>
      <c r="AD115" s="22" t="s">
        <v>157</v>
      </c>
      <c r="AE115" s="146">
        <f>VLOOKUP(S115,Data!$H$22:$J$25,3,FALSE)*T115</f>
        <v>1014.63</v>
      </c>
      <c r="AF115" s="8">
        <f>VLOOKUP(S115,Data!$H$22:$I$25,2,FALSE)*AE115</f>
        <v>1014.63</v>
      </c>
      <c r="AG115" s="8" t="s">
        <v>178</v>
      </c>
      <c r="AH115" s="23">
        <v>2.5000000000000001E-2</v>
      </c>
      <c r="AI115" s="72"/>
      <c r="AJ115" s="159">
        <f t="shared" si="56"/>
        <v>2.5000000000000001E-2</v>
      </c>
      <c r="AK115" s="168">
        <f t="shared" si="89"/>
        <v>845.52500000000009</v>
      </c>
      <c r="AL115" s="160">
        <f t="shared" si="90"/>
        <v>845.52500000000009</v>
      </c>
      <c r="AM115" s="168">
        <f t="shared" si="57"/>
        <v>34666.525000000001</v>
      </c>
      <c r="AN115" s="160">
        <f t="shared" si="58"/>
        <v>34666.525000000001</v>
      </c>
      <c r="AO115" s="160" t="str">
        <f t="shared" si="91"/>
        <v>No</v>
      </c>
      <c r="AP115" s="146">
        <f>IF(AQ115=0,0,AQ115/VLOOKUP(S115,Data!$H$22:$I$25,2,FALSE))</f>
        <v>0</v>
      </c>
      <c r="AQ115" s="183">
        <f t="shared" si="59"/>
        <v>0</v>
      </c>
      <c r="AR115" s="165">
        <f t="shared" si="60"/>
        <v>845.52500000000009</v>
      </c>
      <c r="AS115" s="183">
        <f t="shared" si="61"/>
        <v>845.52500000000009</v>
      </c>
      <c r="AT115" s="250">
        <f t="shared" si="62"/>
        <v>2.5000000000000001E-2</v>
      </c>
      <c r="AU115" s="146">
        <f t="shared" si="63"/>
        <v>34666.525000000001</v>
      </c>
      <c r="AV115" s="8">
        <f t="shared" si="64"/>
        <v>34666.525000000001</v>
      </c>
      <c r="AW115" s="8" t="str">
        <f t="shared" si="65"/>
        <v/>
      </c>
      <c r="AX115" s="180">
        <f t="shared" si="66"/>
        <v>0.91953647214854117</v>
      </c>
      <c r="AY115" s="146">
        <f t="shared" si="67"/>
        <v>0</v>
      </c>
      <c r="AZ115" s="146">
        <f t="shared" si="68"/>
        <v>0</v>
      </c>
      <c r="BA115" s="22" t="s">
        <v>159</v>
      </c>
      <c r="BB115" s="149"/>
      <c r="BC115" s="149"/>
      <c r="BD115" s="144"/>
      <c r="BE115" s="146" t="str">
        <f t="shared" si="69"/>
        <v/>
      </c>
      <c r="BF115" s="8" t="str">
        <f t="shared" si="70"/>
        <v/>
      </c>
      <c r="BG115" s="8" t="str">
        <f>IF(LEN(BC115)&gt;0,VLOOKUP(BC115,'Job Codes'!B108:I226,7,FALSE),"")</f>
        <v/>
      </c>
      <c r="BH115" s="192" t="str">
        <f>IF(LEN(BC115)&gt;0,VLOOKUP(BC115,'Job Codes'!B108:I226,8,FALSE),"")</f>
        <v/>
      </c>
      <c r="BI115" s="192" t="str">
        <f>IF(LEN(BC115)&gt;0,VLOOKUP(BC115,'Job Codes'!$B$2:$J$120,9,FALSE),"")</f>
        <v/>
      </c>
      <c r="BJ115" s="146" t="str">
        <f>IF(LEN(BC115)&gt;0,VLOOKUP(BC115,'Job Codes'!$B$2:$I$120,4,FALSE),"")</f>
        <v/>
      </c>
      <c r="BK115" s="146" t="str">
        <f>IF(LEN(BC115)&gt;0,VLOOKUP(BC115,'Job Codes'!$B$2:$I$120,5,FALSE),"")</f>
        <v/>
      </c>
      <c r="BL115" s="146" t="str">
        <f>IF(LEN(BC115)&gt;0,VLOOKUP(BC115,'Job Codes'!$B$2:$I$120,6,FALSE),"")</f>
        <v/>
      </c>
      <c r="BM115" s="168">
        <f t="shared" si="71"/>
        <v>34666.525000000001</v>
      </c>
      <c r="BN115" s="160">
        <f t="shared" si="72"/>
        <v>34666.525000000001</v>
      </c>
      <c r="BO115" s="22" t="s">
        <v>157</v>
      </c>
      <c r="BP115" s="157">
        <f>VLOOKUP(I115,'Job Codes'!$B$2:$I$120,8,FALSE)</f>
        <v>0.1</v>
      </c>
      <c r="BQ115" s="25" t="str">
        <f>IF(O115&gt;Data!$H$33,"Yes","No")</f>
        <v>No</v>
      </c>
      <c r="BR115" s="191">
        <v>0.1</v>
      </c>
      <c r="BS115" s="150">
        <f t="shared" si="73"/>
        <v>3382.1000000000004</v>
      </c>
      <c r="BT115" s="25">
        <f t="shared" si="74"/>
        <v>3382.1000000000004</v>
      </c>
      <c r="BU115" s="161">
        <v>1</v>
      </c>
      <c r="BV115" s="168">
        <f t="shared" si="75"/>
        <v>3382.1000000000004</v>
      </c>
      <c r="BW115" s="160">
        <f t="shared" si="76"/>
        <v>3382.1000000000004</v>
      </c>
      <c r="BX115" s="149"/>
      <c r="BY115" s="32">
        <f t="shared" si="77"/>
        <v>0</v>
      </c>
      <c r="BZ115" s="22" t="s">
        <v>157</v>
      </c>
      <c r="CA115" s="231">
        <f>VLOOKUP(I115,'Job Codes'!$B$2:$J$120,9,FALSE)</f>
        <v>0.05</v>
      </c>
      <c r="CB115" s="253">
        <f t="shared" si="78"/>
        <v>1691.0500000000002</v>
      </c>
      <c r="CC115" s="72"/>
      <c r="CD115" s="25" t="str">
        <f t="shared" si="79"/>
        <v>Meets</v>
      </c>
      <c r="CE115" s="27"/>
      <c r="CF115" s="27"/>
      <c r="CG115" s="27"/>
      <c r="CH115" s="27"/>
      <c r="CI115" s="27"/>
      <c r="CJ115" s="3"/>
      <c r="CK115" s="3"/>
      <c r="CL115" s="3">
        <v>4569</v>
      </c>
      <c r="CM115" s="3" t="s">
        <v>161</v>
      </c>
      <c r="CN115" s="3">
        <v>4571</v>
      </c>
      <c r="CO115" s="3" t="s">
        <v>162</v>
      </c>
      <c r="CP115" s="3">
        <v>12345</v>
      </c>
      <c r="CQ115" s="3" t="s">
        <v>163</v>
      </c>
      <c r="CR115" s="246" t="s">
        <v>164</v>
      </c>
      <c r="CS115" s="247" t="s">
        <v>165</v>
      </c>
      <c r="CT115" s="246" t="s">
        <v>166</v>
      </c>
      <c r="CU115" s="247" t="s">
        <v>167</v>
      </c>
      <c r="CV115" s="3" t="str">
        <f t="shared" si="80"/>
        <v>67890;99485</v>
      </c>
      <c r="CW115" s="3" t="s">
        <v>168</v>
      </c>
      <c r="CX115" s="3" t="str">
        <f t="shared" si="81"/>
        <v>;;BB115:BD115;;</v>
      </c>
      <c r="CY115" s="5" t="str">
        <f t="shared" si="82"/>
        <v>Unlock</v>
      </c>
      <c r="CZ115" s="5" t="str">
        <f t="shared" si="83"/>
        <v>Lock</v>
      </c>
      <c r="DA115" s="5" t="str">
        <f t="shared" si="84"/>
        <v>Lock</v>
      </c>
      <c r="DB115" s="5" t="str">
        <f t="shared" si="85"/>
        <v>Lock</v>
      </c>
      <c r="DC115" s="5" t="str">
        <f t="shared" si="86"/>
        <v>Lock</v>
      </c>
      <c r="DD115" s="78">
        <f t="shared" si="87"/>
        <v>3</v>
      </c>
      <c r="DE115" s="2"/>
      <c r="DF115" s="2"/>
      <c r="DG115" s="2"/>
      <c r="DH115" s="2"/>
      <c r="DI115" s="2"/>
      <c r="DJ115" s="2"/>
      <c r="DK115" s="5"/>
      <c r="DL115" s="2"/>
      <c r="DM115" s="2"/>
      <c r="DN115" s="2"/>
      <c r="DO115" s="2"/>
      <c r="DP115" s="2"/>
      <c r="DQ115" s="2"/>
      <c r="DR115" s="2"/>
      <c r="DS115" s="2"/>
      <c r="DT115" s="2"/>
      <c r="DU115" s="2"/>
      <c r="DV115" s="2"/>
      <c r="DW115" s="2"/>
      <c r="DX115" s="2"/>
      <c r="DY115" s="2"/>
      <c r="DZ115" s="2"/>
      <c r="EA115" s="2"/>
      <c r="EB115" s="2"/>
      <c r="EC115" s="2"/>
      <c r="ED115" s="2"/>
      <c r="EE115" s="2"/>
      <c r="EF115" s="1"/>
      <c r="EG115" s="98"/>
      <c r="EH115" s="98"/>
      <c r="EI115" s="1"/>
      <c r="EJ115" s="1"/>
      <c r="EK115" s="98"/>
      <c r="EL115" s="1"/>
    </row>
    <row r="116" spans="1:142">
      <c r="A116" s="32">
        <f t="shared" si="46"/>
        <v>7656</v>
      </c>
      <c r="B116" s="3" t="str">
        <f t="shared" si="47"/>
        <v>sv_statement//Statement//Export Statement&amp;PDFID=Valerie Reinert_7656&amp;SO=Y</v>
      </c>
      <c r="C116" s="5" t="str">
        <f t="shared" si="88"/>
        <v>Statement</v>
      </c>
      <c r="D116" s="5" t="str">
        <f t="shared" si="48"/>
        <v>Valerie Reinert_7656</v>
      </c>
      <c r="E116" s="5"/>
      <c r="F116" s="5">
        <v>7656</v>
      </c>
      <c r="G116" s="22" t="s">
        <v>389</v>
      </c>
      <c r="H116" s="5" t="s">
        <v>367</v>
      </c>
      <c r="I116" s="5" t="s">
        <v>390</v>
      </c>
      <c r="J116" s="5" t="s">
        <v>252</v>
      </c>
      <c r="K116" s="5" t="s">
        <v>253</v>
      </c>
      <c r="L116" s="31">
        <f t="shared" si="49"/>
        <v>29342</v>
      </c>
      <c r="M116" s="5" t="s">
        <v>254</v>
      </c>
      <c r="N116" s="22" t="s">
        <v>155</v>
      </c>
      <c r="O116" s="100">
        <v>38033</v>
      </c>
      <c r="P116" s="146">
        <f>VLOOKUP(I116,'Job Codes'!$B$2:$I$120,4,FALSE)</f>
        <v>23000</v>
      </c>
      <c r="Q116" s="146">
        <f>VLOOKUP(I116,'Job Codes'!$B$2:$I$120,5,FALSE)</f>
        <v>29900</v>
      </c>
      <c r="R116" s="146">
        <f>VLOOKUP(I116,'Job Codes'!$B$2:$I$120,6,FALSE)</f>
        <v>35880</v>
      </c>
      <c r="S116" s="22" t="s">
        <v>171</v>
      </c>
      <c r="T116" s="146">
        <v>23629</v>
      </c>
      <c r="U116" s="8">
        <f>VLOOKUP(S116,Data!$H$22:$I$25,2,FALSE)*T116</f>
        <v>23629</v>
      </c>
      <c r="V116" s="180">
        <f t="shared" si="50"/>
        <v>0.79026755852842812</v>
      </c>
      <c r="W116" s="180">
        <f t="shared" si="51"/>
        <v>0.26539421896821702</v>
      </c>
      <c r="X116" s="22" t="str">
        <f t="shared" si="52"/>
        <v>Yes</v>
      </c>
      <c r="Y116" s="180">
        <f t="shared" si="53"/>
        <v>0.02</v>
      </c>
      <c r="Z116" s="146">
        <f t="shared" si="54"/>
        <v>472.58</v>
      </c>
      <c r="AA116" s="146">
        <f t="shared" si="55"/>
        <v>472.58</v>
      </c>
      <c r="AB116" s="72"/>
      <c r="AC116" s="146">
        <f>AB116/VLOOKUP(S116,Data!$H$22:$I$25,2,FALSE)</f>
        <v>0</v>
      </c>
      <c r="AD116" s="22" t="s">
        <v>157</v>
      </c>
      <c r="AE116" s="146">
        <f>VLOOKUP(S116,Data!$H$22:$J$25,3,FALSE)*T116</f>
        <v>708.87</v>
      </c>
      <c r="AF116" s="8">
        <f>VLOOKUP(S116,Data!$H$22:$I$25,2,FALSE)*AE116</f>
        <v>708.87</v>
      </c>
      <c r="AG116" s="8" t="s">
        <v>172</v>
      </c>
      <c r="AH116" s="23">
        <v>0</v>
      </c>
      <c r="AI116" s="72"/>
      <c r="AJ116" s="159">
        <f t="shared" si="56"/>
        <v>0</v>
      </c>
      <c r="AK116" s="168">
        <f t="shared" si="89"/>
        <v>0</v>
      </c>
      <c r="AL116" s="160">
        <f t="shared" si="90"/>
        <v>0</v>
      </c>
      <c r="AM116" s="168">
        <f t="shared" si="57"/>
        <v>23629</v>
      </c>
      <c r="AN116" s="160">
        <f t="shared" si="58"/>
        <v>23629</v>
      </c>
      <c r="AO116" s="160" t="str">
        <f t="shared" si="91"/>
        <v>No</v>
      </c>
      <c r="AP116" s="146">
        <f>IF(AQ116=0,0,AQ116/VLOOKUP(S116,Data!$H$22:$I$25,2,FALSE))</f>
        <v>0</v>
      </c>
      <c r="AQ116" s="183">
        <f t="shared" si="59"/>
        <v>0</v>
      </c>
      <c r="AR116" s="165">
        <f t="shared" si="60"/>
        <v>0</v>
      </c>
      <c r="AS116" s="183">
        <f t="shared" si="61"/>
        <v>0</v>
      </c>
      <c r="AT116" s="250">
        <f t="shared" si="62"/>
        <v>0</v>
      </c>
      <c r="AU116" s="146">
        <f t="shared" si="63"/>
        <v>23629</v>
      </c>
      <c r="AV116" s="8">
        <f t="shared" si="64"/>
        <v>23629</v>
      </c>
      <c r="AW116" s="8" t="str">
        <f t="shared" si="65"/>
        <v/>
      </c>
      <c r="AX116" s="180">
        <f t="shared" si="66"/>
        <v>0.79026755852842812</v>
      </c>
      <c r="AY116" s="146">
        <f t="shared" si="67"/>
        <v>0</v>
      </c>
      <c r="AZ116" s="146">
        <f t="shared" si="68"/>
        <v>0</v>
      </c>
      <c r="BA116" s="22" t="s">
        <v>159</v>
      </c>
      <c r="BB116" s="149"/>
      <c r="BC116" s="149"/>
      <c r="BD116" s="144"/>
      <c r="BE116" s="146" t="str">
        <f t="shared" si="69"/>
        <v/>
      </c>
      <c r="BF116" s="8" t="str">
        <f t="shared" si="70"/>
        <v/>
      </c>
      <c r="BG116" s="8" t="str">
        <f>IF(LEN(BC116)&gt;0,VLOOKUP(BC116,'Job Codes'!B109:I227,7,FALSE),"")</f>
        <v/>
      </c>
      <c r="BH116" s="192" t="str">
        <f>IF(LEN(BC116)&gt;0,VLOOKUP(BC116,'Job Codes'!B109:I227,8,FALSE),"")</f>
        <v/>
      </c>
      <c r="BI116" s="192" t="str">
        <f>IF(LEN(BC116)&gt;0,VLOOKUP(BC116,'Job Codes'!$B$2:$J$120,9,FALSE),"")</f>
        <v/>
      </c>
      <c r="BJ116" s="146" t="str">
        <f>IF(LEN(BC116)&gt;0,VLOOKUP(BC116,'Job Codes'!$B$2:$I$120,4,FALSE),"")</f>
        <v/>
      </c>
      <c r="BK116" s="146" t="str">
        <f>IF(LEN(BC116)&gt;0,VLOOKUP(BC116,'Job Codes'!$B$2:$I$120,5,FALSE),"")</f>
        <v/>
      </c>
      <c r="BL116" s="146" t="str">
        <f>IF(LEN(BC116)&gt;0,VLOOKUP(BC116,'Job Codes'!$B$2:$I$120,6,FALSE),"")</f>
        <v/>
      </c>
      <c r="BM116" s="168">
        <f t="shared" si="71"/>
        <v>23629</v>
      </c>
      <c r="BN116" s="160">
        <f t="shared" si="72"/>
        <v>23629</v>
      </c>
      <c r="BO116" s="22" t="s">
        <v>159</v>
      </c>
      <c r="BP116" s="157">
        <f>VLOOKUP(I116,'Job Codes'!$B$2:$I$120,8,FALSE)</f>
        <v>0</v>
      </c>
      <c r="BQ116" s="25" t="str">
        <f>IF(O116&gt;Data!$H$33,"Yes","No")</f>
        <v>No</v>
      </c>
      <c r="BR116" s="191">
        <v>0</v>
      </c>
      <c r="BS116" s="150">
        <f t="shared" si="73"/>
        <v>0</v>
      </c>
      <c r="BT116" s="25">
        <f t="shared" si="74"/>
        <v>0</v>
      </c>
      <c r="BU116" s="161">
        <v>1</v>
      </c>
      <c r="BV116" s="168">
        <f t="shared" si="75"/>
        <v>0</v>
      </c>
      <c r="BW116" s="160">
        <f t="shared" si="76"/>
        <v>0</v>
      </c>
      <c r="BX116" s="149"/>
      <c r="BY116" s="32">
        <f t="shared" si="77"/>
        <v>0</v>
      </c>
      <c r="BZ116" s="22" t="s">
        <v>159</v>
      </c>
      <c r="CA116" s="231">
        <f>VLOOKUP(I116,'Job Codes'!$B$2:$J$120,9,FALSE)</f>
        <v>0</v>
      </c>
      <c r="CB116" s="253">
        <f t="shared" si="78"/>
        <v>0</v>
      </c>
      <c r="CC116" s="72"/>
      <c r="CD116" s="25" t="str">
        <f t="shared" si="79"/>
        <v>Below</v>
      </c>
      <c r="CE116" s="27"/>
      <c r="CF116" s="27"/>
      <c r="CG116" s="27"/>
      <c r="CH116" s="27"/>
      <c r="CI116" s="27"/>
      <c r="CJ116" s="3">
        <v>29271</v>
      </c>
      <c r="CK116" s="3" t="s">
        <v>255</v>
      </c>
      <c r="CL116" s="3">
        <v>4569</v>
      </c>
      <c r="CM116" s="3" t="s">
        <v>161</v>
      </c>
      <c r="CN116" s="3">
        <v>4571</v>
      </c>
      <c r="CO116" s="3" t="s">
        <v>162</v>
      </c>
      <c r="CP116" s="3">
        <v>12345</v>
      </c>
      <c r="CQ116" s="3" t="s">
        <v>163</v>
      </c>
      <c r="CR116" s="246" t="s">
        <v>164</v>
      </c>
      <c r="CS116" s="5" t="s">
        <v>165</v>
      </c>
      <c r="CT116" s="246" t="s">
        <v>256</v>
      </c>
      <c r="CU116" s="247" t="s">
        <v>257</v>
      </c>
      <c r="CV116" s="3" t="str">
        <f t="shared" si="80"/>
        <v>67890;86672</v>
      </c>
      <c r="CW116" s="3" t="s">
        <v>168</v>
      </c>
      <c r="CX116" s="3" t="str">
        <f t="shared" si="81"/>
        <v>;;BB116:BD116;BU116;BX116</v>
      </c>
      <c r="CY116" s="5" t="str">
        <f t="shared" si="82"/>
        <v>Unlock</v>
      </c>
      <c r="CZ116" s="5" t="str">
        <f t="shared" si="83"/>
        <v>Lock</v>
      </c>
      <c r="DA116" s="5" t="str">
        <f t="shared" si="84"/>
        <v>Lock</v>
      </c>
      <c r="DB116" s="5" t="str">
        <f t="shared" si="85"/>
        <v>Lock</v>
      </c>
      <c r="DC116" s="5" t="str">
        <f t="shared" si="86"/>
        <v>Lock</v>
      </c>
      <c r="DD116" s="78">
        <f t="shared" si="87"/>
        <v>2</v>
      </c>
      <c r="DE116" s="2"/>
      <c r="DF116" s="2"/>
      <c r="DG116" s="2"/>
      <c r="DH116" s="2"/>
      <c r="DI116" s="2"/>
      <c r="DJ116" s="2"/>
      <c r="DK116" s="5"/>
      <c r="DL116" s="2"/>
      <c r="DM116" s="2"/>
      <c r="DN116" s="2"/>
      <c r="DO116" s="2"/>
      <c r="DP116" s="2"/>
      <c r="DQ116" s="2"/>
      <c r="DR116" s="2"/>
      <c r="DS116" s="2"/>
      <c r="DT116" s="2"/>
      <c r="DU116" s="2"/>
      <c r="DV116" s="2"/>
      <c r="DW116" s="2"/>
      <c r="DX116" s="2"/>
      <c r="DY116" s="2"/>
      <c r="DZ116" s="2"/>
      <c r="EA116" s="2"/>
      <c r="EB116" s="2"/>
      <c r="EC116" s="2"/>
      <c r="ED116" s="2"/>
      <c r="EE116" s="2"/>
      <c r="EF116" s="1"/>
      <c r="EG116" s="98"/>
      <c r="EH116" s="98"/>
      <c r="EI116" s="1"/>
      <c r="EJ116" s="1"/>
      <c r="EK116" s="98"/>
      <c r="EL116" s="1"/>
    </row>
    <row r="117" spans="1:142">
      <c r="A117" s="32">
        <f t="shared" si="46"/>
        <v>7885</v>
      </c>
      <c r="B117" s="3" t="str">
        <f t="shared" si="47"/>
        <v>sv_statement//Statement//Export Statement&amp;PDFID=Erica Overby_7885&amp;SO=Y</v>
      </c>
      <c r="C117" s="5" t="str">
        <f t="shared" si="88"/>
        <v>Statement</v>
      </c>
      <c r="D117" s="5" t="str">
        <f t="shared" si="48"/>
        <v>Erica Overby_7885</v>
      </c>
      <c r="E117" s="5"/>
      <c r="F117" s="5">
        <v>7885</v>
      </c>
      <c r="G117" s="22" t="s">
        <v>391</v>
      </c>
      <c r="H117" s="5" t="s">
        <v>367</v>
      </c>
      <c r="I117" s="5" t="s">
        <v>392</v>
      </c>
      <c r="J117" s="5" t="s">
        <v>252</v>
      </c>
      <c r="K117" s="5" t="s">
        <v>253</v>
      </c>
      <c r="L117" s="31">
        <f t="shared" si="49"/>
        <v>29342</v>
      </c>
      <c r="M117" s="5" t="s">
        <v>254</v>
      </c>
      <c r="N117" s="22" t="s">
        <v>155</v>
      </c>
      <c r="O117" s="100">
        <v>38040</v>
      </c>
      <c r="P117" s="146">
        <f>VLOOKUP(I117,'Job Codes'!$B$2:$I$120,4,FALSE)</f>
        <v>23000</v>
      </c>
      <c r="Q117" s="146">
        <f>VLOOKUP(I117,'Job Codes'!$B$2:$I$120,5,FALSE)</f>
        <v>29900</v>
      </c>
      <c r="R117" s="146">
        <f>VLOOKUP(I117,'Job Codes'!$B$2:$I$120,6,FALSE)</f>
        <v>35880</v>
      </c>
      <c r="S117" s="22" t="s">
        <v>171</v>
      </c>
      <c r="T117" s="146">
        <v>27539</v>
      </c>
      <c r="U117" s="8">
        <f>VLOOKUP(S117,Data!$H$22:$I$25,2,FALSE)*T117</f>
        <v>27539</v>
      </c>
      <c r="V117" s="180">
        <f t="shared" si="50"/>
        <v>0.92103678929765886</v>
      </c>
      <c r="W117" s="180">
        <f t="shared" si="51"/>
        <v>8.5732960528704744E-2</v>
      </c>
      <c r="X117" s="22" t="str">
        <f t="shared" si="52"/>
        <v>Yes</v>
      </c>
      <c r="Y117" s="180">
        <f t="shared" si="53"/>
        <v>0.02</v>
      </c>
      <c r="Z117" s="146">
        <f t="shared" si="54"/>
        <v>550.78</v>
      </c>
      <c r="AA117" s="146">
        <f t="shared" si="55"/>
        <v>550.78</v>
      </c>
      <c r="AB117" s="72"/>
      <c r="AC117" s="146">
        <f>AB117/VLOOKUP(S117,Data!$H$22:$I$25,2,FALSE)</f>
        <v>0</v>
      </c>
      <c r="AD117" s="22" t="s">
        <v>157</v>
      </c>
      <c r="AE117" s="146">
        <f>VLOOKUP(S117,Data!$H$22:$J$25,3,FALSE)*T117</f>
        <v>826.17</v>
      </c>
      <c r="AF117" s="8">
        <f>VLOOKUP(S117,Data!$H$22:$I$25,2,FALSE)*AE117</f>
        <v>826.17</v>
      </c>
      <c r="AG117" s="8" t="s">
        <v>178</v>
      </c>
      <c r="AH117" s="23">
        <v>2.5000000000000001E-2</v>
      </c>
      <c r="AI117" s="72"/>
      <c r="AJ117" s="159">
        <f t="shared" si="56"/>
        <v>2.5000000000000001E-2</v>
      </c>
      <c r="AK117" s="168">
        <f t="shared" si="89"/>
        <v>688.47500000000002</v>
      </c>
      <c r="AL117" s="160">
        <f t="shared" si="90"/>
        <v>688.47500000000002</v>
      </c>
      <c r="AM117" s="168">
        <f t="shared" si="57"/>
        <v>28227.474999999999</v>
      </c>
      <c r="AN117" s="160">
        <f t="shared" si="58"/>
        <v>28227.474999999999</v>
      </c>
      <c r="AO117" s="160" t="str">
        <f t="shared" si="91"/>
        <v>No</v>
      </c>
      <c r="AP117" s="146">
        <f>IF(AQ117=0,0,AQ117/VLOOKUP(S117,Data!$H$22:$I$25,2,FALSE))</f>
        <v>0</v>
      </c>
      <c r="AQ117" s="183">
        <f t="shared" si="59"/>
        <v>0</v>
      </c>
      <c r="AR117" s="165">
        <f t="shared" si="60"/>
        <v>688.47500000000002</v>
      </c>
      <c r="AS117" s="183">
        <f t="shared" si="61"/>
        <v>688.47500000000002</v>
      </c>
      <c r="AT117" s="250">
        <f t="shared" si="62"/>
        <v>2.5000000000000001E-2</v>
      </c>
      <c r="AU117" s="146">
        <f t="shared" si="63"/>
        <v>28227.474999999999</v>
      </c>
      <c r="AV117" s="8">
        <f t="shared" si="64"/>
        <v>28227.474999999999</v>
      </c>
      <c r="AW117" s="8" t="str">
        <f t="shared" si="65"/>
        <v/>
      </c>
      <c r="AX117" s="180">
        <f t="shared" si="66"/>
        <v>0.94406270903010026</v>
      </c>
      <c r="AY117" s="146">
        <f t="shared" si="67"/>
        <v>0</v>
      </c>
      <c r="AZ117" s="146">
        <f t="shared" si="68"/>
        <v>0</v>
      </c>
      <c r="BA117" s="22" t="s">
        <v>159</v>
      </c>
      <c r="BB117" s="149"/>
      <c r="BC117" s="149"/>
      <c r="BD117" s="144"/>
      <c r="BE117" s="146" t="str">
        <f t="shared" si="69"/>
        <v/>
      </c>
      <c r="BF117" s="8" t="str">
        <f t="shared" si="70"/>
        <v/>
      </c>
      <c r="BG117" s="8" t="str">
        <f>IF(LEN(BC117)&gt;0,VLOOKUP(BC117,'Job Codes'!B110:I228,7,FALSE),"")</f>
        <v/>
      </c>
      <c r="BH117" s="192" t="str">
        <f>IF(LEN(BC117)&gt;0,VLOOKUP(BC117,'Job Codes'!B110:I228,8,FALSE),"")</f>
        <v/>
      </c>
      <c r="BI117" s="192" t="str">
        <f>IF(LEN(BC117)&gt;0,VLOOKUP(BC117,'Job Codes'!$B$2:$J$120,9,FALSE),"")</f>
        <v/>
      </c>
      <c r="BJ117" s="146" t="str">
        <f>IF(LEN(BC117)&gt;0,VLOOKUP(BC117,'Job Codes'!$B$2:$I$120,4,FALSE),"")</f>
        <v/>
      </c>
      <c r="BK117" s="146" t="str">
        <f>IF(LEN(BC117)&gt;0,VLOOKUP(BC117,'Job Codes'!$B$2:$I$120,5,FALSE),"")</f>
        <v/>
      </c>
      <c r="BL117" s="146" t="str">
        <f>IF(LEN(BC117)&gt;0,VLOOKUP(BC117,'Job Codes'!$B$2:$I$120,6,FALSE),"")</f>
        <v/>
      </c>
      <c r="BM117" s="168">
        <f t="shared" si="71"/>
        <v>28227.474999999999</v>
      </c>
      <c r="BN117" s="160">
        <f t="shared" si="72"/>
        <v>28227.474999999999</v>
      </c>
      <c r="BO117" s="22" t="s">
        <v>159</v>
      </c>
      <c r="BP117" s="157">
        <f>VLOOKUP(I117,'Job Codes'!$B$2:$I$120,8,FALSE)</f>
        <v>0</v>
      </c>
      <c r="BQ117" s="25" t="str">
        <f>IF(O117&gt;Data!$H$33,"Yes","No")</f>
        <v>No</v>
      </c>
      <c r="BR117" s="191">
        <v>0</v>
      </c>
      <c r="BS117" s="150">
        <f t="shared" si="73"/>
        <v>0</v>
      </c>
      <c r="BT117" s="25">
        <f t="shared" si="74"/>
        <v>0</v>
      </c>
      <c r="BU117" s="161">
        <v>1</v>
      </c>
      <c r="BV117" s="168">
        <f t="shared" si="75"/>
        <v>0</v>
      </c>
      <c r="BW117" s="160">
        <f t="shared" si="76"/>
        <v>0</v>
      </c>
      <c r="BX117" s="149"/>
      <c r="BY117" s="32">
        <f t="shared" si="77"/>
        <v>0</v>
      </c>
      <c r="BZ117" s="22" t="s">
        <v>159</v>
      </c>
      <c r="CA117" s="231">
        <f>VLOOKUP(I117,'Job Codes'!$B$2:$J$120,9,FALSE)</f>
        <v>0</v>
      </c>
      <c r="CB117" s="253">
        <f t="shared" si="78"/>
        <v>0</v>
      </c>
      <c r="CC117" s="72"/>
      <c r="CD117" s="25" t="str">
        <f t="shared" si="79"/>
        <v>Meets</v>
      </c>
      <c r="CE117" s="27"/>
      <c r="CF117" s="27"/>
      <c r="CG117" s="27"/>
      <c r="CH117" s="27"/>
      <c r="CI117" s="27"/>
      <c r="CJ117" s="3">
        <v>29271</v>
      </c>
      <c r="CK117" s="3" t="s">
        <v>255</v>
      </c>
      <c r="CL117" s="3">
        <v>4569</v>
      </c>
      <c r="CM117" s="3" t="s">
        <v>161</v>
      </c>
      <c r="CN117" s="3">
        <v>4571</v>
      </c>
      <c r="CO117" s="3" t="s">
        <v>162</v>
      </c>
      <c r="CP117" s="3">
        <v>12345</v>
      </c>
      <c r="CQ117" s="3" t="s">
        <v>163</v>
      </c>
      <c r="CR117" s="246" t="s">
        <v>164</v>
      </c>
      <c r="CS117" s="5" t="s">
        <v>165</v>
      </c>
      <c r="CT117" s="246" t="s">
        <v>256</v>
      </c>
      <c r="CU117" s="247" t="s">
        <v>257</v>
      </c>
      <c r="CV117" s="3" t="str">
        <f t="shared" si="80"/>
        <v>67890;86672</v>
      </c>
      <c r="CW117" s="3" t="s">
        <v>168</v>
      </c>
      <c r="CX117" s="3" t="str">
        <f t="shared" si="81"/>
        <v>;;BB117:BD117;BU117;BX117</v>
      </c>
      <c r="CY117" s="5" t="str">
        <f t="shared" si="82"/>
        <v>Unlock</v>
      </c>
      <c r="CZ117" s="5" t="str">
        <f t="shared" si="83"/>
        <v>Lock</v>
      </c>
      <c r="DA117" s="5" t="str">
        <f t="shared" si="84"/>
        <v>Lock</v>
      </c>
      <c r="DB117" s="5" t="str">
        <f t="shared" si="85"/>
        <v>Lock</v>
      </c>
      <c r="DC117" s="5" t="str">
        <f t="shared" si="86"/>
        <v>Lock</v>
      </c>
      <c r="DD117" s="78">
        <f t="shared" si="87"/>
        <v>2</v>
      </c>
      <c r="DE117" s="2"/>
      <c r="DF117" s="2"/>
      <c r="DG117" s="2"/>
      <c r="DH117" s="2"/>
      <c r="DI117" s="2"/>
      <c r="DJ117" s="2"/>
      <c r="DK117" s="5"/>
      <c r="DL117" s="2"/>
      <c r="DM117" s="2"/>
      <c r="DN117" s="2"/>
      <c r="DO117" s="2"/>
      <c r="DP117" s="2"/>
      <c r="DQ117" s="2"/>
      <c r="DR117" s="2"/>
      <c r="DS117" s="2"/>
      <c r="DT117" s="2"/>
      <c r="DU117" s="2"/>
      <c r="DV117" s="2"/>
      <c r="DW117" s="2"/>
      <c r="DX117" s="2"/>
      <c r="DY117" s="2"/>
      <c r="DZ117" s="2"/>
      <c r="EA117" s="2"/>
      <c r="EB117" s="2"/>
      <c r="EC117" s="2"/>
      <c r="ED117" s="2"/>
      <c r="EE117" s="2"/>
      <c r="EF117" s="1"/>
      <c r="EG117" s="98"/>
      <c r="EH117" s="98"/>
      <c r="EI117" s="1"/>
      <c r="EJ117" s="1"/>
      <c r="EK117" s="98"/>
      <c r="EL117" s="1"/>
    </row>
    <row r="118" spans="1:142">
      <c r="A118" s="32">
        <f t="shared" si="46"/>
        <v>7898</v>
      </c>
      <c r="B118" s="3" t="str">
        <f t="shared" si="47"/>
        <v>sv_statement//Statement//Export Statement&amp;PDFID=Brenda Milford_7898&amp;SO=Y</v>
      </c>
      <c r="C118" s="5" t="str">
        <f t="shared" si="88"/>
        <v>Statement</v>
      </c>
      <c r="D118" s="5" t="str">
        <f t="shared" si="48"/>
        <v>Brenda Milford_7898</v>
      </c>
      <c r="E118" s="5"/>
      <c r="F118" s="5">
        <v>7898</v>
      </c>
      <c r="G118" s="22" t="s">
        <v>393</v>
      </c>
      <c r="H118" s="5" t="s">
        <v>367</v>
      </c>
      <c r="I118" s="5" t="s">
        <v>394</v>
      </c>
      <c r="J118" s="5" t="s">
        <v>252</v>
      </c>
      <c r="K118" s="5" t="s">
        <v>253</v>
      </c>
      <c r="L118" s="31">
        <f t="shared" si="49"/>
        <v>29342</v>
      </c>
      <c r="M118" s="5" t="s">
        <v>254</v>
      </c>
      <c r="N118" s="22" t="s">
        <v>155</v>
      </c>
      <c r="O118" s="100">
        <v>38047</v>
      </c>
      <c r="P118" s="146">
        <f>VLOOKUP(I118,'Job Codes'!$B$2:$I$120,4,FALSE)</f>
        <v>33000</v>
      </c>
      <c r="Q118" s="146">
        <f>VLOOKUP(I118,'Job Codes'!$B$2:$I$120,5,FALSE)</f>
        <v>42900</v>
      </c>
      <c r="R118" s="146">
        <f>VLOOKUP(I118,'Job Codes'!$B$2:$I$120,6,FALSE)</f>
        <v>51480</v>
      </c>
      <c r="S118" s="22" t="s">
        <v>171</v>
      </c>
      <c r="T118" s="146">
        <v>30368</v>
      </c>
      <c r="U118" s="8">
        <f>VLOOKUP(S118,Data!$H$22:$I$25,2,FALSE)*T118</f>
        <v>30368</v>
      </c>
      <c r="V118" s="180">
        <f t="shared" si="50"/>
        <v>0.70787878787878789</v>
      </c>
      <c r="W118" s="180">
        <f t="shared" si="51"/>
        <v>0.41267123287671231</v>
      </c>
      <c r="X118" s="22" t="str">
        <f t="shared" si="52"/>
        <v>Yes</v>
      </c>
      <c r="Y118" s="180">
        <f t="shared" si="53"/>
        <v>0.02</v>
      </c>
      <c r="Z118" s="146">
        <f t="shared" si="54"/>
        <v>607.36</v>
      </c>
      <c r="AA118" s="146">
        <f t="shared" si="55"/>
        <v>607.36</v>
      </c>
      <c r="AB118" s="72"/>
      <c r="AC118" s="146">
        <f>AB118/VLOOKUP(S118,Data!$H$22:$I$25,2,FALSE)</f>
        <v>0</v>
      </c>
      <c r="AD118" s="22" t="s">
        <v>157</v>
      </c>
      <c r="AE118" s="146">
        <f>VLOOKUP(S118,Data!$H$22:$J$25,3,FALSE)*T118</f>
        <v>911.04</v>
      </c>
      <c r="AF118" s="8">
        <f>VLOOKUP(S118,Data!$H$22:$I$25,2,FALSE)*AE118</f>
        <v>911.04</v>
      </c>
      <c r="AG118" s="8" t="s">
        <v>178</v>
      </c>
      <c r="AH118" s="23">
        <v>2.5000000000000001E-2</v>
      </c>
      <c r="AI118" s="72"/>
      <c r="AJ118" s="159">
        <f t="shared" si="56"/>
        <v>2.5000000000000001E-2</v>
      </c>
      <c r="AK118" s="168">
        <f t="shared" si="89"/>
        <v>759.2</v>
      </c>
      <c r="AL118" s="160">
        <f t="shared" si="90"/>
        <v>759.2</v>
      </c>
      <c r="AM118" s="168">
        <f t="shared" si="57"/>
        <v>31127.200000000001</v>
      </c>
      <c r="AN118" s="160">
        <f t="shared" si="58"/>
        <v>31127.200000000001</v>
      </c>
      <c r="AO118" s="160" t="str">
        <f t="shared" si="91"/>
        <v>No</v>
      </c>
      <c r="AP118" s="146">
        <f>IF(AQ118=0,0,AQ118/VLOOKUP(S118,Data!$H$22:$I$25,2,FALSE))</f>
        <v>0</v>
      </c>
      <c r="AQ118" s="183">
        <f t="shared" si="59"/>
        <v>0</v>
      </c>
      <c r="AR118" s="165">
        <f t="shared" si="60"/>
        <v>759.2</v>
      </c>
      <c r="AS118" s="183">
        <f t="shared" si="61"/>
        <v>759.2</v>
      </c>
      <c r="AT118" s="250">
        <f t="shared" si="62"/>
        <v>2.5000000000000001E-2</v>
      </c>
      <c r="AU118" s="146">
        <f t="shared" si="63"/>
        <v>31127.200000000001</v>
      </c>
      <c r="AV118" s="8">
        <f t="shared" si="64"/>
        <v>31127.200000000001</v>
      </c>
      <c r="AW118" s="8" t="str">
        <f t="shared" si="65"/>
        <v/>
      </c>
      <c r="AX118" s="180">
        <f t="shared" si="66"/>
        <v>0.72557575757575754</v>
      </c>
      <c r="AY118" s="146">
        <f t="shared" si="67"/>
        <v>0</v>
      </c>
      <c r="AZ118" s="146">
        <f t="shared" si="68"/>
        <v>0</v>
      </c>
      <c r="BA118" s="22" t="s">
        <v>159</v>
      </c>
      <c r="BB118" s="149"/>
      <c r="BC118" s="149"/>
      <c r="BD118" s="144"/>
      <c r="BE118" s="146" t="str">
        <f t="shared" si="69"/>
        <v/>
      </c>
      <c r="BF118" s="8" t="str">
        <f t="shared" si="70"/>
        <v/>
      </c>
      <c r="BG118" s="8" t="str">
        <f>IF(LEN(BC118)&gt;0,VLOOKUP(BC118,'Job Codes'!B111:I229,7,FALSE),"")</f>
        <v/>
      </c>
      <c r="BH118" s="192" t="str">
        <f>IF(LEN(BC118)&gt;0,VLOOKUP(BC118,'Job Codes'!B111:I229,8,FALSE),"")</f>
        <v/>
      </c>
      <c r="BI118" s="192" t="str">
        <f>IF(LEN(BC118)&gt;0,VLOOKUP(BC118,'Job Codes'!$B$2:$J$120,9,FALSE),"")</f>
        <v/>
      </c>
      <c r="BJ118" s="146" t="str">
        <f>IF(LEN(BC118)&gt;0,VLOOKUP(BC118,'Job Codes'!$B$2:$I$120,4,FALSE),"")</f>
        <v/>
      </c>
      <c r="BK118" s="146" t="str">
        <f>IF(LEN(BC118)&gt;0,VLOOKUP(BC118,'Job Codes'!$B$2:$I$120,5,FALSE),"")</f>
        <v/>
      </c>
      <c r="BL118" s="146" t="str">
        <f>IF(LEN(BC118)&gt;0,VLOOKUP(BC118,'Job Codes'!$B$2:$I$120,6,FALSE),"")</f>
        <v/>
      </c>
      <c r="BM118" s="168">
        <f t="shared" si="71"/>
        <v>31127.200000000001</v>
      </c>
      <c r="BN118" s="160">
        <f t="shared" si="72"/>
        <v>31127.200000000001</v>
      </c>
      <c r="BO118" s="22" t="s">
        <v>157</v>
      </c>
      <c r="BP118" s="157">
        <f>VLOOKUP(I118,'Job Codes'!$B$2:$I$120,8,FALSE)</f>
        <v>0.1</v>
      </c>
      <c r="BQ118" s="25" t="str">
        <f>IF(O118&gt;Data!$H$33,"Yes","No")</f>
        <v>No</v>
      </c>
      <c r="BR118" s="191">
        <v>0.1</v>
      </c>
      <c r="BS118" s="150">
        <f t="shared" si="73"/>
        <v>3036.8</v>
      </c>
      <c r="BT118" s="25">
        <f t="shared" si="74"/>
        <v>3036.8</v>
      </c>
      <c r="BU118" s="161">
        <v>1</v>
      </c>
      <c r="BV118" s="168">
        <f t="shared" si="75"/>
        <v>3036.8</v>
      </c>
      <c r="BW118" s="160">
        <f t="shared" si="76"/>
        <v>3036.8</v>
      </c>
      <c r="BX118" s="149"/>
      <c r="BY118" s="32">
        <f t="shared" si="77"/>
        <v>0</v>
      </c>
      <c r="BZ118" s="22" t="s">
        <v>157</v>
      </c>
      <c r="CA118" s="231">
        <f>VLOOKUP(I118,'Job Codes'!$B$2:$J$120,9,FALSE)</f>
        <v>0.1</v>
      </c>
      <c r="CB118" s="253">
        <f t="shared" si="78"/>
        <v>3036.8</v>
      </c>
      <c r="CC118" s="72"/>
      <c r="CD118" s="25" t="str">
        <f t="shared" si="79"/>
        <v>Meets</v>
      </c>
      <c r="CE118" s="27"/>
      <c r="CF118" s="27"/>
      <c r="CG118" s="27"/>
      <c r="CH118" s="27"/>
      <c r="CI118" s="27"/>
      <c r="CJ118" s="3">
        <v>29271</v>
      </c>
      <c r="CK118" s="3" t="s">
        <v>255</v>
      </c>
      <c r="CL118" s="3">
        <v>4569</v>
      </c>
      <c r="CM118" s="3" t="s">
        <v>161</v>
      </c>
      <c r="CN118" s="3">
        <v>4571</v>
      </c>
      <c r="CO118" s="3" t="s">
        <v>162</v>
      </c>
      <c r="CP118" s="3">
        <v>12345</v>
      </c>
      <c r="CQ118" s="3" t="s">
        <v>163</v>
      </c>
      <c r="CR118" s="246" t="s">
        <v>164</v>
      </c>
      <c r="CS118" s="5" t="s">
        <v>165</v>
      </c>
      <c r="CT118" s="246" t="s">
        <v>256</v>
      </c>
      <c r="CU118" s="247" t="s">
        <v>257</v>
      </c>
      <c r="CV118" s="3" t="str">
        <f t="shared" si="80"/>
        <v>67890;86672</v>
      </c>
      <c r="CW118" s="3" t="s">
        <v>168</v>
      </c>
      <c r="CX118" s="3" t="str">
        <f t="shared" si="81"/>
        <v>;;BB118:BD118;;</v>
      </c>
      <c r="CY118" s="5" t="str">
        <f t="shared" si="82"/>
        <v>Unlock</v>
      </c>
      <c r="CZ118" s="5" t="str">
        <f t="shared" si="83"/>
        <v>Lock</v>
      </c>
      <c r="DA118" s="5" t="str">
        <f t="shared" si="84"/>
        <v>Lock</v>
      </c>
      <c r="DB118" s="5" t="str">
        <f t="shared" si="85"/>
        <v>Lock</v>
      </c>
      <c r="DC118" s="5" t="str">
        <f t="shared" si="86"/>
        <v>Lock</v>
      </c>
      <c r="DD118" s="78">
        <f t="shared" si="87"/>
        <v>2</v>
      </c>
      <c r="DE118" s="2"/>
      <c r="DF118" s="2"/>
      <c r="DG118" s="2"/>
      <c r="DH118" s="2"/>
      <c r="DI118" s="2"/>
      <c r="DJ118" s="2"/>
      <c r="DK118" s="5"/>
      <c r="DL118" s="2"/>
      <c r="DM118" s="2"/>
      <c r="DN118" s="2"/>
      <c r="DO118" s="2"/>
      <c r="DP118" s="2"/>
      <c r="DQ118" s="2"/>
      <c r="DR118" s="2"/>
      <c r="DS118" s="2"/>
      <c r="DT118" s="2"/>
      <c r="DU118" s="2"/>
      <c r="DV118" s="2"/>
      <c r="DW118" s="2"/>
      <c r="DX118" s="2"/>
      <c r="DY118" s="2"/>
      <c r="DZ118" s="2"/>
      <c r="EA118" s="2"/>
      <c r="EB118" s="2"/>
      <c r="EC118" s="2"/>
      <c r="ED118" s="2"/>
      <c r="EE118" s="2"/>
      <c r="EF118" s="1"/>
      <c r="EG118" s="98"/>
      <c r="EH118" s="98"/>
      <c r="EI118" s="1"/>
      <c r="EJ118" s="1"/>
      <c r="EK118" s="98"/>
      <c r="EL118" s="1"/>
    </row>
    <row r="119" spans="1:142">
      <c r="A119" s="32">
        <f t="shared" si="46"/>
        <v>7904</v>
      </c>
      <c r="B119" s="3" t="str">
        <f t="shared" si="47"/>
        <v>sv_statement//Statement//Export Statement&amp;PDFID=Kay Mauricio_7904&amp;SO=Y</v>
      </c>
      <c r="C119" s="5" t="str">
        <f t="shared" si="88"/>
        <v>Statement</v>
      </c>
      <c r="D119" s="5" t="str">
        <f t="shared" si="48"/>
        <v>Kay Mauricio_7904</v>
      </c>
      <c r="E119" s="5"/>
      <c r="F119" s="5">
        <v>7904</v>
      </c>
      <c r="G119" s="22" t="s">
        <v>395</v>
      </c>
      <c r="H119" s="5" t="s">
        <v>367</v>
      </c>
      <c r="I119" s="5" t="s">
        <v>396</v>
      </c>
      <c r="J119" s="5" t="s">
        <v>252</v>
      </c>
      <c r="K119" s="5" t="s">
        <v>253</v>
      </c>
      <c r="L119" s="31">
        <f t="shared" si="49"/>
        <v>29342</v>
      </c>
      <c r="M119" s="5" t="s">
        <v>254</v>
      </c>
      <c r="N119" s="22" t="s">
        <v>155</v>
      </c>
      <c r="O119" s="100">
        <v>38040</v>
      </c>
      <c r="P119" s="146">
        <f>VLOOKUP(I119,'Job Codes'!$B$2:$I$120,4,FALSE)</f>
        <v>26500</v>
      </c>
      <c r="Q119" s="146">
        <f>VLOOKUP(I119,'Job Codes'!$B$2:$I$120,5,FALSE)</f>
        <v>34450</v>
      </c>
      <c r="R119" s="146">
        <f>VLOOKUP(I119,'Job Codes'!$B$2:$I$120,6,FALSE)</f>
        <v>41340</v>
      </c>
      <c r="S119" s="22" t="s">
        <v>171</v>
      </c>
      <c r="T119" s="146">
        <v>26853</v>
      </c>
      <c r="U119" s="8">
        <f>VLOOKUP(S119,Data!$H$22:$I$25,2,FALSE)*T119</f>
        <v>26853</v>
      </c>
      <c r="V119" s="180">
        <f t="shared" si="50"/>
        <v>0.77947750362844703</v>
      </c>
      <c r="W119" s="180">
        <f t="shared" si="51"/>
        <v>0.28291066175101476</v>
      </c>
      <c r="X119" s="22" t="str">
        <f t="shared" si="52"/>
        <v>Yes</v>
      </c>
      <c r="Y119" s="180">
        <f t="shared" si="53"/>
        <v>0.02</v>
      </c>
      <c r="Z119" s="146">
        <f t="shared" si="54"/>
        <v>537.06000000000006</v>
      </c>
      <c r="AA119" s="146">
        <f t="shared" si="55"/>
        <v>537.06000000000006</v>
      </c>
      <c r="AB119" s="72"/>
      <c r="AC119" s="146">
        <f>AB119/VLOOKUP(S119,Data!$H$22:$I$25,2,FALSE)</f>
        <v>0</v>
      </c>
      <c r="AD119" s="22" t="s">
        <v>157</v>
      </c>
      <c r="AE119" s="146">
        <f>VLOOKUP(S119,Data!$H$22:$J$25,3,FALSE)*T119</f>
        <v>805.58999999999992</v>
      </c>
      <c r="AF119" s="8">
        <f>VLOOKUP(S119,Data!$H$22:$I$25,2,FALSE)*AE119</f>
        <v>805.58999999999992</v>
      </c>
      <c r="AG119" s="8" t="s">
        <v>178</v>
      </c>
      <c r="AH119" s="23">
        <v>2.5000000000000001E-2</v>
      </c>
      <c r="AI119" s="72"/>
      <c r="AJ119" s="159">
        <f t="shared" si="56"/>
        <v>2.5000000000000001E-2</v>
      </c>
      <c r="AK119" s="168">
        <f t="shared" si="89"/>
        <v>671.32500000000005</v>
      </c>
      <c r="AL119" s="160">
        <f t="shared" si="90"/>
        <v>671.32500000000005</v>
      </c>
      <c r="AM119" s="168">
        <f t="shared" si="57"/>
        <v>27524.325000000001</v>
      </c>
      <c r="AN119" s="160">
        <f t="shared" si="58"/>
        <v>27524.325000000001</v>
      </c>
      <c r="AO119" s="160" t="str">
        <f t="shared" si="91"/>
        <v>No</v>
      </c>
      <c r="AP119" s="146">
        <f>IF(AQ119=0,0,AQ119/VLOOKUP(S119,Data!$H$22:$I$25,2,FALSE))</f>
        <v>0</v>
      </c>
      <c r="AQ119" s="183">
        <f t="shared" si="59"/>
        <v>0</v>
      </c>
      <c r="AR119" s="165">
        <f t="shared" si="60"/>
        <v>671.32500000000005</v>
      </c>
      <c r="AS119" s="183">
        <f t="shared" si="61"/>
        <v>671.32500000000005</v>
      </c>
      <c r="AT119" s="250">
        <f t="shared" si="62"/>
        <v>2.5000000000000001E-2</v>
      </c>
      <c r="AU119" s="146">
        <f t="shared" si="63"/>
        <v>27524.325000000001</v>
      </c>
      <c r="AV119" s="8">
        <f t="shared" si="64"/>
        <v>27524.325000000001</v>
      </c>
      <c r="AW119" s="8" t="str">
        <f t="shared" si="65"/>
        <v/>
      </c>
      <c r="AX119" s="180">
        <f t="shared" si="66"/>
        <v>0.79896444121915822</v>
      </c>
      <c r="AY119" s="146">
        <f t="shared" si="67"/>
        <v>0</v>
      </c>
      <c r="AZ119" s="146">
        <f t="shared" si="68"/>
        <v>0</v>
      </c>
      <c r="BA119" s="22" t="s">
        <v>159</v>
      </c>
      <c r="BB119" s="149"/>
      <c r="BC119" s="149"/>
      <c r="BD119" s="144"/>
      <c r="BE119" s="146" t="str">
        <f t="shared" si="69"/>
        <v/>
      </c>
      <c r="BF119" s="8" t="str">
        <f t="shared" si="70"/>
        <v/>
      </c>
      <c r="BG119" s="8" t="str">
        <f>IF(LEN(BC119)&gt;0,VLOOKUP(BC119,'Job Codes'!B112:I230,7,FALSE),"")</f>
        <v/>
      </c>
      <c r="BH119" s="192" t="str">
        <f>IF(LEN(BC119)&gt;0,VLOOKUP(BC119,'Job Codes'!B112:I230,8,FALSE),"")</f>
        <v/>
      </c>
      <c r="BI119" s="192" t="str">
        <f>IF(LEN(BC119)&gt;0,VLOOKUP(BC119,'Job Codes'!$B$2:$J$120,9,FALSE),"")</f>
        <v/>
      </c>
      <c r="BJ119" s="146" t="str">
        <f>IF(LEN(BC119)&gt;0,VLOOKUP(BC119,'Job Codes'!$B$2:$I$120,4,FALSE),"")</f>
        <v/>
      </c>
      <c r="BK119" s="146" t="str">
        <f>IF(LEN(BC119)&gt;0,VLOOKUP(BC119,'Job Codes'!$B$2:$I$120,5,FALSE),"")</f>
        <v/>
      </c>
      <c r="BL119" s="146" t="str">
        <f>IF(LEN(BC119)&gt;0,VLOOKUP(BC119,'Job Codes'!$B$2:$I$120,6,FALSE),"")</f>
        <v/>
      </c>
      <c r="BM119" s="168">
        <f t="shared" si="71"/>
        <v>27524.325000000001</v>
      </c>
      <c r="BN119" s="160">
        <f t="shared" si="72"/>
        <v>27524.325000000001</v>
      </c>
      <c r="BO119" s="22" t="s">
        <v>157</v>
      </c>
      <c r="BP119" s="157">
        <f>VLOOKUP(I119,'Job Codes'!$B$2:$I$120,8,FALSE)</f>
        <v>0.05</v>
      </c>
      <c r="BQ119" s="25" t="str">
        <f>IF(O119&gt;Data!$H$33,"Yes","No")</f>
        <v>No</v>
      </c>
      <c r="BR119" s="191">
        <v>0.05</v>
      </c>
      <c r="BS119" s="150">
        <f t="shared" si="73"/>
        <v>1342.65</v>
      </c>
      <c r="BT119" s="25">
        <f t="shared" si="74"/>
        <v>1342.65</v>
      </c>
      <c r="BU119" s="161">
        <v>1</v>
      </c>
      <c r="BV119" s="168">
        <f t="shared" si="75"/>
        <v>1342.65</v>
      </c>
      <c r="BW119" s="160">
        <f t="shared" si="76"/>
        <v>1342.65</v>
      </c>
      <c r="BX119" s="149"/>
      <c r="BY119" s="32">
        <f t="shared" si="77"/>
        <v>0</v>
      </c>
      <c r="BZ119" s="22" t="s">
        <v>159</v>
      </c>
      <c r="CA119" s="231">
        <f>VLOOKUP(I119,'Job Codes'!$B$2:$J$120,9,FALSE)</f>
        <v>0</v>
      </c>
      <c r="CB119" s="253">
        <f t="shared" si="78"/>
        <v>0</v>
      </c>
      <c r="CC119" s="72"/>
      <c r="CD119" s="25" t="str">
        <f t="shared" si="79"/>
        <v>Meets</v>
      </c>
      <c r="CE119" s="27"/>
      <c r="CF119" s="27"/>
      <c r="CG119" s="27"/>
      <c r="CH119" s="27"/>
      <c r="CI119" s="27"/>
      <c r="CJ119" s="3">
        <v>29271</v>
      </c>
      <c r="CK119" s="3" t="s">
        <v>255</v>
      </c>
      <c r="CL119" s="3">
        <v>4569</v>
      </c>
      <c r="CM119" s="3" t="s">
        <v>161</v>
      </c>
      <c r="CN119" s="3">
        <v>4571</v>
      </c>
      <c r="CO119" s="3" t="s">
        <v>162</v>
      </c>
      <c r="CP119" s="3">
        <v>12345</v>
      </c>
      <c r="CQ119" s="3" t="s">
        <v>163</v>
      </c>
      <c r="CR119" s="246" t="s">
        <v>164</v>
      </c>
      <c r="CS119" s="5" t="s">
        <v>165</v>
      </c>
      <c r="CT119" s="246" t="s">
        <v>256</v>
      </c>
      <c r="CU119" s="247" t="s">
        <v>257</v>
      </c>
      <c r="CV119" s="3" t="str">
        <f t="shared" si="80"/>
        <v>67890;86672</v>
      </c>
      <c r="CW119" s="3" t="s">
        <v>168</v>
      </c>
      <c r="CX119" s="3" t="str">
        <f t="shared" si="81"/>
        <v>;;BB119:BD119;;CC119</v>
      </c>
      <c r="CY119" s="5" t="str">
        <f t="shared" si="82"/>
        <v>Unlock</v>
      </c>
      <c r="CZ119" s="5" t="str">
        <f t="shared" si="83"/>
        <v>Lock</v>
      </c>
      <c r="DA119" s="5" t="str">
        <f t="shared" si="84"/>
        <v>Lock</v>
      </c>
      <c r="DB119" s="5" t="str">
        <f t="shared" si="85"/>
        <v>Lock</v>
      </c>
      <c r="DC119" s="5" t="str">
        <f t="shared" si="86"/>
        <v>Lock</v>
      </c>
      <c r="DD119" s="78">
        <f t="shared" si="87"/>
        <v>2</v>
      </c>
      <c r="DE119" s="2"/>
      <c r="DF119" s="2"/>
      <c r="DG119" s="2"/>
      <c r="DH119" s="2"/>
      <c r="DI119" s="2"/>
      <c r="DJ119" s="2"/>
      <c r="DK119" s="5"/>
      <c r="DL119" s="2"/>
      <c r="DM119" s="2"/>
      <c r="DN119" s="2"/>
      <c r="DO119" s="2"/>
      <c r="DP119" s="2"/>
      <c r="DQ119" s="2"/>
      <c r="DR119" s="2"/>
      <c r="DS119" s="2"/>
      <c r="DT119" s="2"/>
      <c r="DU119" s="2"/>
      <c r="DV119" s="2"/>
      <c r="DW119" s="2"/>
      <c r="DX119" s="2"/>
      <c r="DY119" s="2"/>
      <c r="DZ119" s="2"/>
      <c r="EA119" s="2"/>
      <c r="EB119" s="2"/>
      <c r="EC119" s="2"/>
      <c r="ED119" s="2"/>
      <c r="EE119" s="2"/>
      <c r="EF119" s="1"/>
      <c r="EG119" s="98"/>
      <c r="EH119" s="98"/>
      <c r="EI119" s="1"/>
      <c r="EJ119" s="1"/>
      <c r="EK119" s="98"/>
      <c r="EL119" s="1"/>
    </row>
    <row r="120" spans="1:142">
      <c r="A120" s="32">
        <f t="shared" si="46"/>
        <v>7930</v>
      </c>
      <c r="B120" s="3" t="str">
        <f t="shared" si="47"/>
        <v>sv_statement//Statement//Export Statement&amp;PDFID=Carla Crank_7930&amp;SO=Y</v>
      </c>
      <c r="C120" s="5" t="str">
        <f t="shared" si="88"/>
        <v>Statement</v>
      </c>
      <c r="D120" s="5" t="str">
        <f t="shared" si="48"/>
        <v>Carla Crank_7930</v>
      </c>
      <c r="E120" s="5"/>
      <c r="F120" s="5">
        <v>7930</v>
      </c>
      <c r="G120" s="22" t="s">
        <v>397</v>
      </c>
      <c r="H120" s="5" t="s">
        <v>367</v>
      </c>
      <c r="I120" s="5" t="s">
        <v>398</v>
      </c>
      <c r="J120" s="5" t="s">
        <v>252</v>
      </c>
      <c r="K120" s="5" t="s">
        <v>253</v>
      </c>
      <c r="L120" s="31">
        <f t="shared" si="49"/>
        <v>29342</v>
      </c>
      <c r="M120" s="5" t="s">
        <v>254</v>
      </c>
      <c r="N120" s="22" t="s">
        <v>155</v>
      </c>
      <c r="O120" s="100">
        <v>38040</v>
      </c>
      <c r="P120" s="146">
        <f>VLOOKUP(I120,'Job Codes'!$B$2:$I$120,4,FALSE)</f>
        <v>26500</v>
      </c>
      <c r="Q120" s="146">
        <f>VLOOKUP(I120,'Job Codes'!$B$2:$I$120,5,FALSE)</f>
        <v>34450</v>
      </c>
      <c r="R120" s="146">
        <f>VLOOKUP(I120,'Job Codes'!$B$2:$I$120,6,FALSE)</f>
        <v>41340</v>
      </c>
      <c r="S120" s="22" t="s">
        <v>171</v>
      </c>
      <c r="T120" s="146">
        <v>36317</v>
      </c>
      <c r="U120" s="8">
        <f>VLOOKUP(S120,Data!$H$22:$I$25,2,FALSE)*T120</f>
        <v>36317</v>
      </c>
      <c r="V120" s="180">
        <f t="shared" si="50"/>
        <v>1.0541944847605225</v>
      </c>
      <c r="W120" s="180">
        <f t="shared" si="51"/>
        <v>0</v>
      </c>
      <c r="X120" s="22" t="str">
        <f t="shared" si="52"/>
        <v>No</v>
      </c>
      <c r="Y120" s="180">
        <f t="shared" si="53"/>
        <v>0</v>
      </c>
      <c r="Z120" s="146">
        <f t="shared" si="54"/>
        <v>0</v>
      </c>
      <c r="AA120" s="146">
        <f t="shared" si="55"/>
        <v>0</v>
      </c>
      <c r="AB120" s="72"/>
      <c r="AC120" s="146">
        <f>AB120/VLOOKUP(S120,Data!$H$22:$I$25,2,FALSE)</f>
        <v>0</v>
      </c>
      <c r="AD120" s="22" t="s">
        <v>157</v>
      </c>
      <c r="AE120" s="146">
        <f>VLOOKUP(S120,Data!$H$22:$J$25,3,FALSE)*T120</f>
        <v>1089.51</v>
      </c>
      <c r="AF120" s="8">
        <f>VLOOKUP(S120,Data!$H$22:$I$25,2,FALSE)*AE120</f>
        <v>1089.51</v>
      </c>
      <c r="AG120" s="8" t="s">
        <v>172</v>
      </c>
      <c r="AH120" s="23">
        <v>0</v>
      </c>
      <c r="AI120" s="72"/>
      <c r="AJ120" s="159">
        <f t="shared" si="56"/>
        <v>0</v>
      </c>
      <c r="AK120" s="168">
        <f t="shared" si="89"/>
        <v>0</v>
      </c>
      <c r="AL120" s="160">
        <f t="shared" si="90"/>
        <v>0</v>
      </c>
      <c r="AM120" s="168">
        <f t="shared" si="57"/>
        <v>36317</v>
      </c>
      <c r="AN120" s="160">
        <f t="shared" si="58"/>
        <v>36317</v>
      </c>
      <c r="AO120" s="160" t="str">
        <f t="shared" si="91"/>
        <v>No</v>
      </c>
      <c r="AP120" s="146">
        <f>IF(AQ120=0,0,AQ120/VLOOKUP(S120,Data!$H$22:$I$25,2,FALSE))</f>
        <v>0</v>
      </c>
      <c r="AQ120" s="183">
        <f t="shared" si="59"/>
        <v>0</v>
      </c>
      <c r="AR120" s="165">
        <f t="shared" si="60"/>
        <v>0</v>
      </c>
      <c r="AS120" s="183">
        <f t="shared" si="61"/>
        <v>0</v>
      </c>
      <c r="AT120" s="250">
        <f t="shared" si="62"/>
        <v>0</v>
      </c>
      <c r="AU120" s="146">
        <f t="shared" si="63"/>
        <v>36317</v>
      </c>
      <c r="AV120" s="8">
        <f t="shared" si="64"/>
        <v>36317</v>
      </c>
      <c r="AW120" s="8" t="str">
        <f t="shared" si="65"/>
        <v/>
      </c>
      <c r="AX120" s="180">
        <f t="shared" si="66"/>
        <v>1.0541944847605225</v>
      </c>
      <c r="AY120" s="146">
        <f t="shared" si="67"/>
        <v>0</v>
      </c>
      <c r="AZ120" s="146">
        <f t="shared" si="68"/>
        <v>0</v>
      </c>
      <c r="BA120" s="22" t="s">
        <v>159</v>
      </c>
      <c r="BB120" s="149"/>
      <c r="BC120" s="149"/>
      <c r="BD120" s="144"/>
      <c r="BE120" s="146" t="str">
        <f t="shared" si="69"/>
        <v/>
      </c>
      <c r="BF120" s="8" t="str">
        <f t="shared" si="70"/>
        <v/>
      </c>
      <c r="BG120" s="8" t="str">
        <f>IF(LEN(BC120)&gt;0,VLOOKUP(BC120,'Job Codes'!B113:I231,7,FALSE),"")</f>
        <v/>
      </c>
      <c r="BH120" s="192" t="str">
        <f>IF(LEN(BC120)&gt;0,VLOOKUP(BC120,'Job Codes'!B113:I231,8,FALSE),"")</f>
        <v/>
      </c>
      <c r="BI120" s="192" t="str">
        <f>IF(LEN(BC120)&gt;0,VLOOKUP(BC120,'Job Codes'!$B$2:$J$120,9,FALSE),"")</f>
        <v/>
      </c>
      <c r="BJ120" s="146" t="str">
        <f>IF(LEN(BC120)&gt;0,VLOOKUP(BC120,'Job Codes'!$B$2:$I$120,4,FALSE),"")</f>
        <v/>
      </c>
      <c r="BK120" s="146" t="str">
        <f>IF(LEN(BC120)&gt;0,VLOOKUP(BC120,'Job Codes'!$B$2:$I$120,5,FALSE),"")</f>
        <v/>
      </c>
      <c r="BL120" s="146" t="str">
        <f>IF(LEN(BC120)&gt;0,VLOOKUP(BC120,'Job Codes'!$B$2:$I$120,6,FALSE),"")</f>
        <v/>
      </c>
      <c r="BM120" s="168">
        <f t="shared" si="71"/>
        <v>36317</v>
      </c>
      <c r="BN120" s="160">
        <f t="shared" si="72"/>
        <v>36317</v>
      </c>
      <c r="BO120" s="22" t="s">
        <v>157</v>
      </c>
      <c r="BP120" s="157">
        <f>VLOOKUP(I120,'Job Codes'!$B$2:$I$120,8,FALSE)</f>
        <v>0.05</v>
      </c>
      <c r="BQ120" s="25" t="str">
        <f>IF(O120&gt;Data!$H$33,"Yes","No")</f>
        <v>No</v>
      </c>
      <c r="BR120" s="191">
        <v>0.05</v>
      </c>
      <c r="BS120" s="150">
        <f t="shared" si="73"/>
        <v>1815.8500000000001</v>
      </c>
      <c r="BT120" s="25">
        <f t="shared" si="74"/>
        <v>1815.8500000000001</v>
      </c>
      <c r="BU120" s="161">
        <v>1</v>
      </c>
      <c r="BV120" s="168">
        <f t="shared" si="75"/>
        <v>1815.8500000000001</v>
      </c>
      <c r="BW120" s="160">
        <f t="shared" si="76"/>
        <v>1815.8500000000001</v>
      </c>
      <c r="BX120" s="149"/>
      <c r="BY120" s="32">
        <f t="shared" si="77"/>
        <v>0</v>
      </c>
      <c r="BZ120" s="22" t="s">
        <v>159</v>
      </c>
      <c r="CA120" s="231">
        <f>VLOOKUP(I120,'Job Codes'!$B$2:$J$120,9,FALSE)</f>
        <v>0</v>
      </c>
      <c r="CB120" s="253">
        <f t="shared" si="78"/>
        <v>0</v>
      </c>
      <c r="CC120" s="72"/>
      <c r="CD120" s="25" t="str">
        <f t="shared" si="79"/>
        <v>Below</v>
      </c>
      <c r="CE120" s="27"/>
      <c r="CF120" s="27"/>
      <c r="CG120" s="27"/>
      <c r="CH120" s="27"/>
      <c r="CI120" s="27"/>
      <c r="CJ120" s="3">
        <v>29271</v>
      </c>
      <c r="CK120" s="3" t="s">
        <v>255</v>
      </c>
      <c r="CL120" s="3">
        <v>4569</v>
      </c>
      <c r="CM120" s="3" t="s">
        <v>161</v>
      </c>
      <c r="CN120" s="3">
        <v>4571</v>
      </c>
      <c r="CO120" s="3" t="s">
        <v>162</v>
      </c>
      <c r="CP120" s="3">
        <v>12345</v>
      </c>
      <c r="CQ120" s="3" t="s">
        <v>163</v>
      </c>
      <c r="CR120" s="246" t="s">
        <v>164</v>
      </c>
      <c r="CS120" s="5" t="s">
        <v>165</v>
      </c>
      <c r="CT120" s="246" t="s">
        <v>256</v>
      </c>
      <c r="CU120" s="247" t="s">
        <v>257</v>
      </c>
      <c r="CV120" s="3" t="str">
        <f t="shared" si="80"/>
        <v>67890;86672</v>
      </c>
      <c r="CW120" s="3" t="s">
        <v>168</v>
      </c>
      <c r="CX120" s="3" t="str">
        <f t="shared" si="81"/>
        <v>AB120;;BB120:BD120;;CC120</v>
      </c>
      <c r="CY120" s="5" t="str">
        <f t="shared" si="82"/>
        <v>Unlock</v>
      </c>
      <c r="CZ120" s="5" t="str">
        <f t="shared" si="83"/>
        <v>Lock</v>
      </c>
      <c r="DA120" s="5" t="str">
        <f t="shared" si="84"/>
        <v>Lock</v>
      </c>
      <c r="DB120" s="5" t="str">
        <f t="shared" si="85"/>
        <v>Lock</v>
      </c>
      <c r="DC120" s="5" t="str">
        <f t="shared" si="86"/>
        <v>Lock</v>
      </c>
      <c r="DD120" s="78">
        <f t="shared" si="87"/>
        <v>2</v>
      </c>
      <c r="DE120" s="2"/>
      <c r="DF120" s="2"/>
      <c r="DG120" s="2"/>
      <c r="DH120" s="2"/>
      <c r="DI120" s="2"/>
      <c r="DJ120" s="2"/>
      <c r="DK120" s="5"/>
      <c r="DL120" s="2"/>
      <c r="DM120" s="2"/>
      <c r="DN120" s="2"/>
      <c r="DO120" s="2"/>
      <c r="DP120" s="2"/>
      <c r="DQ120" s="2"/>
      <c r="DR120" s="2"/>
      <c r="DS120" s="2"/>
      <c r="DT120" s="2"/>
      <c r="DU120" s="2"/>
      <c r="DV120" s="2"/>
      <c r="DW120" s="2"/>
      <c r="DX120" s="2"/>
      <c r="DY120" s="2"/>
      <c r="DZ120" s="2"/>
      <c r="EA120" s="2"/>
      <c r="EB120" s="2"/>
      <c r="EC120" s="2"/>
      <c r="ED120" s="2"/>
      <c r="EE120" s="2"/>
      <c r="EF120" s="1"/>
      <c r="EG120" s="98"/>
      <c r="EH120" s="98"/>
      <c r="EI120" s="1"/>
      <c r="EJ120" s="1"/>
      <c r="EK120" s="98"/>
      <c r="EL120" s="1"/>
    </row>
    <row r="121" spans="1:142">
      <c r="A121" s="32">
        <f t="shared" si="46"/>
        <v>7961</v>
      </c>
      <c r="B121" s="3" t="str">
        <f t="shared" si="47"/>
        <v>sv_statement//Statement//Export Statement&amp;PDFID=Craig Rae_7961&amp;SO=Y</v>
      </c>
      <c r="C121" s="5" t="str">
        <f t="shared" si="88"/>
        <v>Statement</v>
      </c>
      <c r="D121" s="5" t="str">
        <f t="shared" si="48"/>
        <v>Craig Rae_7961</v>
      </c>
      <c r="E121" s="5"/>
      <c r="F121" s="5">
        <v>7961</v>
      </c>
      <c r="G121" s="22" t="s">
        <v>399</v>
      </c>
      <c r="H121" s="5" t="s">
        <v>367</v>
      </c>
      <c r="I121" s="5" t="s">
        <v>400</v>
      </c>
      <c r="J121" s="5" t="s">
        <v>252</v>
      </c>
      <c r="K121" s="5" t="s">
        <v>253</v>
      </c>
      <c r="L121" s="31">
        <f t="shared" si="49"/>
        <v>29342</v>
      </c>
      <c r="M121" s="5" t="s">
        <v>254</v>
      </c>
      <c r="N121" s="22" t="s">
        <v>155</v>
      </c>
      <c r="O121" s="100">
        <v>38044</v>
      </c>
      <c r="P121" s="146">
        <f>VLOOKUP(I121,'Job Codes'!$B$2:$I$120,4,FALSE)</f>
        <v>26500</v>
      </c>
      <c r="Q121" s="146">
        <f>VLOOKUP(I121,'Job Codes'!$B$2:$I$120,5,FALSE)</f>
        <v>34450</v>
      </c>
      <c r="R121" s="146">
        <f>VLOOKUP(I121,'Job Codes'!$B$2:$I$120,6,FALSE)</f>
        <v>41340</v>
      </c>
      <c r="S121" s="22" t="s">
        <v>171</v>
      </c>
      <c r="T121" s="146">
        <v>35152</v>
      </c>
      <c r="U121" s="8">
        <f>VLOOKUP(S121,Data!$H$22:$I$25,2,FALSE)*T121</f>
        <v>35152</v>
      </c>
      <c r="V121" s="180">
        <f t="shared" si="50"/>
        <v>1.020377358490566</v>
      </c>
      <c r="W121" s="180">
        <f t="shared" si="51"/>
        <v>0</v>
      </c>
      <c r="X121" s="22" t="str">
        <f t="shared" si="52"/>
        <v>No</v>
      </c>
      <c r="Y121" s="180">
        <f t="shared" si="53"/>
        <v>0</v>
      </c>
      <c r="Z121" s="146">
        <f t="shared" si="54"/>
        <v>0</v>
      </c>
      <c r="AA121" s="146">
        <f t="shared" si="55"/>
        <v>0</v>
      </c>
      <c r="AB121" s="72"/>
      <c r="AC121" s="146">
        <f>AB121/VLOOKUP(S121,Data!$H$22:$I$25,2,FALSE)</f>
        <v>0</v>
      </c>
      <c r="AD121" s="22" t="s">
        <v>157</v>
      </c>
      <c r="AE121" s="146">
        <f>VLOOKUP(S121,Data!$H$22:$J$25,3,FALSE)*T121</f>
        <v>1054.56</v>
      </c>
      <c r="AF121" s="8">
        <f>VLOOKUP(S121,Data!$H$22:$I$25,2,FALSE)*AE121</f>
        <v>1054.56</v>
      </c>
      <c r="AG121" s="8" t="s">
        <v>178</v>
      </c>
      <c r="AH121" s="23">
        <v>0.02</v>
      </c>
      <c r="AI121" s="72"/>
      <c r="AJ121" s="159">
        <f t="shared" si="56"/>
        <v>0.02</v>
      </c>
      <c r="AK121" s="168">
        <f t="shared" si="89"/>
        <v>703.04</v>
      </c>
      <c r="AL121" s="160">
        <f t="shared" si="90"/>
        <v>703.04</v>
      </c>
      <c r="AM121" s="168">
        <f t="shared" si="57"/>
        <v>35855.040000000001</v>
      </c>
      <c r="AN121" s="160">
        <f t="shared" si="58"/>
        <v>35855.040000000001</v>
      </c>
      <c r="AO121" s="160" t="str">
        <f t="shared" si="91"/>
        <v>No</v>
      </c>
      <c r="AP121" s="146">
        <f>IF(AQ121=0,0,AQ121/VLOOKUP(S121,Data!$H$22:$I$25,2,FALSE))</f>
        <v>0</v>
      </c>
      <c r="AQ121" s="183">
        <f t="shared" si="59"/>
        <v>0</v>
      </c>
      <c r="AR121" s="165">
        <f t="shared" si="60"/>
        <v>703.04</v>
      </c>
      <c r="AS121" s="183">
        <f t="shared" si="61"/>
        <v>703.04</v>
      </c>
      <c r="AT121" s="250">
        <f t="shared" si="62"/>
        <v>0.02</v>
      </c>
      <c r="AU121" s="146">
        <f t="shared" si="63"/>
        <v>35855.040000000001</v>
      </c>
      <c r="AV121" s="8">
        <f t="shared" si="64"/>
        <v>35855.040000000001</v>
      </c>
      <c r="AW121" s="8" t="str">
        <f t="shared" si="65"/>
        <v/>
      </c>
      <c r="AX121" s="180">
        <f t="shared" si="66"/>
        <v>1.0407849056603773</v>
      </c>
      <c r="AY121" s="146">
        <f t="shared" si="67"/>
        <v>0</v>
      </c>
      <c r="AZ121" s="146">
        <f t="shared" si="68"/>
        <v>0</v>
      </c>
      <c r="BA121" s="22" t="s">
        <v>159</v>
      </c>
      <c r="BB121" s="149"/>
      <c r="BC121" s="149"/>
      <c r="BD121" s="144"/>
      <c r="BE121" s="146" t="str">
        <f t="shared" si="69"/>
        <v/>
      </c>
      <c r="BF121" s="8" t="str">
        <f t="shared" si="70"/>
        <v/>
      </c>
      <c r="BG121" s="8" t="str">
        <f>IF(LEN(BC121)&gt;0,VLOOKUP(BC121,'Job Codes'!B114:I232,7,FALSE),"")</f>
        <v/>
      </c>
      <c r="BH121" s="192" t="str">
        <f>IF(LEN(BC121)&gt;0,VLOOKUP(BC121,'Job Codes'!B114:I232,8,FALSE),"")</f>
        <v/>
      </c>
      <c r="BI121" s="192" t="str">
        <f>IF(LEN(BC121)&gt;0,VLOOKUP(BC121,'Job Codes'!$B$2:$J$120,9,FALSE),"")</f>
        <v/>
      </c>
      <c r="BJ121" s="146" t="str">
        <f>IF(LEN(BC121)&gt;0,VLOOKUP(BC121,'Job Codes'!$B$2:$I$120,4,FALSE),"")</f>
        <v/>
      </c>
      <c r="BK121" s="146" t="str">
        <f>IF(LEN(BC121)&gt;0,VLOOKUP(BC121,'Job Codes'!$B$2:$I$120,5,FALSE),"")</f>
        <v/>
      </c>
      <c r="BL121" s="146" t="str">
        <f>IF(LEN(BC121)&gt;0,VLOOKUP(BC121,'Job Codes'!$B$2:$I$120,6,FALSE),"")</f>
        <v/>
      </c>
      <c r="BM121" s="168">
        <f t="shared" si="71"/>
        <v>35855.040000000001</v>
      </c>
      <c r="BN121" s="160">
        <f t="shared" si="72"/>
        <v>35855.040000000001</v>
      </c>
      <c r="BO121" s="22" t="s">
        <v>157</v>
      </c>
      <c r="BP121" s="157">
        <f>VLOOKUP(I121,'Job Codes'!$B$2:$I$120,8,FALSE)</f>
        <v>0.05</v>
      </c>
      <c r="BQ121" s="25" t="str">
        <f>IF(O121&gt;Data!$H$33,"Yes","No")</f>
        <v>No</v>
      </c>
      <c r="BR121" s="191">
        <v>0.05</v>
      </c>
      <c r="BS121" s="150">
        <f t="shared" si="73"/>
        <v>1757.6000000000001</v>
      </c>
      <c r="BT121" s="25">
        <f t="shared" si="74"/>
        <v>1757.6000000000001</v>
      </c>
      <c r="BU121" s="161">
        <v>1</v>
      </c>
      <c r="BV121" s="168">
        <f t="shared" si="75"/>
        <v>1757.6000000000001</v>
      </c>
      <c r="BW121" s="160">
        <f t="shared" si="76"/>
        <v>1757.6000000000001</v>
      </c>
      <c r="BX121" s="149"/>
      <c r="BY121" s="32">
        <f t="shared" si="77"/>
        <v>0</v>
      </c>
      <c r="BZ121" s="22" t="s">
        <v>159</v>
      </c>
      <c r="CA121" s="231">
        <f>VLOOKUP(I121,'Job Codes'!$B$2:$J$120,9,FALSE)</f>
        <v>0</v>
      </c>
      <c r="CB121" s="253">
        <f t="shared" si="78"/>
        <v>0</v>
      </c>
      <c r="CC121" s="72"/>
      <c r="CD121" s="25" t="str">
        <f t="shared" si="79"/>
        <v>Meets</v>
      </c>
      <c r="CE121" s="27"/>
      <c r="CF121" s="27"/>
      <c r="CG121" s="27"/>
      <c r="CH121" s="27"/>
      <c r="CI121" s="27"/>
      <c r="CJ121" s="3">
        <v>29271</v>
      </c>
      <c r="CK121" s="3" t="s">
        <v>255</v>
      </c>
      <c r="CL121" s="3">
        <v>4569</v>
      </c>
      <c r="CM121" s="3" t="s">
        <v>161</v>
      </c>
      <c r="CN121" s="3">
        <v>4571</v>
      </c>
      <c r="CO121" s="3" t="s">
        <v>162</v>
      </c>
      <c r="CP121" s="3">
        <v>12345</v>
      </c>
      <c r="CQ121" s="3" t="s">
        <v>163</v>
      </c>
      <c r="CR121" s="246" t="s">
        <v>164</v>
      </c>
      <c r="CS121" s="5" t="s">
        <v>165</v>
      </c>
      <c r="CT121" s="246" t="s">
        <v>256</v>
      </c>
      <c r="CU121" s="247" t="s">
        <v>257</v>
      </c>
      <c r="CV121" s="3" t="str">
        <f t="shared" si="80"/>
        <v>67890;86672</v>
      </c>
      <c r="CW121" s="3" t="s">
        <v>168</v>
      </c>
      <c r="CX121" s="3" t="str">
        <f t="shared" si="81"/>
        <v>AB121;;BB121:BD121;;CC121</v>
      </c>
      <c r="CY121" s="5" t="str">
        <f t="shared" si="82"/>
        <v>Unlock</v>
      </c>
      <c r="CZ121" s="5" t="str">
        <f t="shared" si="83"/>
        <v>Lock</v>
      </c>
      <c r="DA121" s="5" t="str">
        <f t="shared" si="84"/>
        <v>Lock</v>
      </c>
      <c r="DB121" s="5" t="str">
        <f t="shared" si="85"/>
        <v>Lock</v>
      </c>
      <c r="DC121" s="5" t="str">
        <f t="shared" si="86"/>
        <v>Lock</v>
      </c>
      <c r="DD121" s="78">
        <f t="shared" si="87"/>
        <v>2</v>
      </c>
      <c r="DE121" s="2"/>
      <c r="DF121" s="2"/>
      <c r="DG121" s="2"/>
      <c r="DH121" s="2"/>
      <c r="DI121" s="2"/>
      <c r="DJ121" s="2"/>
      <c r="DK121" s="5"/>
      <c r="DL121" s="2"/>
      <c r="DM121" s="2"/>
      <c r="DN121" s="2"/>
      <c r="DO121" s="2"/>
      <c r="DP121" s="2"/>
      <c r="DQ121" s="2"/>
      <c r="DR121" s="2"/>
      <c r="DS121" s="2"/>
      <c r="DT121" s="2"/>
      <c r="DU121" s="2"/>
      <c r="DV121" s="2"/>
      <c r="DW121" s="2"/>
      <c r="DX121" s="2"/>
      <c r="DY121" s="2"/>
      <c r="DZ121" s="2"/>
      <c r="EA121" s="2"/>
      <c r="EB121" s="2"/>
      <c r="EC121" s="2"/>
      <c r="ED121" s="2"/>
      <c r="EE121" s="2"/>
      <c r="EF121" s="1"/>
      <c r="EG121" s="98"/>
      <c r="EH121" s="98"/>
      <c r="EI121" s="1"/>
      <c r="EJ121" s="1"/>
      <c r="EK121" s="98"/>
      <c r="EL121" s="1"/>
    </row>
    <row r="122" spans="1:142">
      <c r="A122" s="32">
        <f t="shared" si="46"/>
        <v>7966</v>
      </c>
      <c r="B122" s="3" t="str">
        <f t="shared" si="47"/>
        <v>sv_statement//Statement//Export Statement&amp;PDFID=Alberta Beaver_7966&amp;SO=Y</v>
      </c>
      <c r="C122" s="5" t="str">
        <f t="shared" si="88"/>
        <v>Statement</v>
      </c>
      <c r="D122" s="5" t="str">
        <f t="shared" si="48"/>
        <v>Alberta Beaver_7966</v>
      </c>
      <c r="E122" s="5"/>
      <c r="F122" s="5">
        <v>7966</v>
      </c>
      <c r="G122" s="22" t="s">
        <v>401</v>
      </c>
      <c r="H122" s="5" t="s">
        <v>367</v>
      </c>
      <c r="I122" s="5" t="s">
        <v>402</v>
      </c>
      <c r="J122" s="5" t="s">
        <v>252</v>
      </c>
      <c r="K122" s="5" t="s">
        <v>253</v>
      </c>
      <c r="L122" s="31">
        <f t="shared" si="49"/>
        <v>29342</v>
      </c>
      <c r="M122" s="5" t="s">
        <v>254</v>
      </c>
      <c r="N122" s="22" t="s">
        <v>155</v>
      </c>
      <c r="O122" s="100">
        <v>38047</v>
      </c>
      <c r="P122" s="146">
        <f>VLOOKUP(I122,'Job Codes'!$B$2:$I$120,4,FALSE)</f>
        <v>20000</v>
      </c>
      <c r="Q122" s="146">
        <f>VLOOKUP(I122,'Job Codes'!$B$2:$I$120,5,FALSE)</f>
        <v>26000</v>
      </c>
      <c r="R122" s="146">
        <f>VLOOKUP(I122,'Job Codes'!$B$2:$I$120,6,FALSE)</f>
        <v>31200</v>
      </c>
      <c r="S122" s="22" t="s">
        <v>171</v>
      </c>
      <c r="T122" s="146">
        <v>33800</v>
      </c>
      <c r="U122" s="8">
        <f>VLOOKUP(S122,Data!$H$22:$I$25,2,FALSE)*T122</f>
        <v>33800</v>
      </c>
      <c r="V122" s="180">
        <f t="shared" si="50"/>
        <v>1.3</v>
      </c>
      <c r="W122" s="180">
        <f t="shared" si="51"/>
        <v>0</v>
      </c>
      <c r="X122" s="22" t="str">
        <f t="shared" si="52"/>
        <v>No</v>
      </c>
      <c r="Y122" s="180">
        <f t="shared" si="53"/>
        <v>0</v>
      </c>
      <c r="Z122" s="146">
        <f t="shared" si="54"/>
        <v>0</v>
      </c>
      <c r="AA122" s="146">
        <f t="shared" si="55"/>
        <v>0</v>
      </c>
      <c r="AB122" s="72"/>
      <c r="AC122" s="146">
        <f>AB122/VLOOKUP(S122,Data!$H$22:$I$25,2,FALSE)</f>
        <v>0</v>
      </c>
      <c r="AD122" s="22" t="s">
        <v>157</v>
      </c>
      <c r="AE122" s="146">
        <f>VLOOKUP(S122,Data!$H$22:$J$25,3,FALSE)*T122</f>
        <v>1014</v>
      </c>
      <c r="AF122" s="8">
        <f>VLOOKUP(S122,Data!$H$22:$I$25,2,FALSE)*AE122</f>
        <v>1014</v>
      </c>
      <c r="AG122" s="8" t="s">
        <v>178</v>
      </c>
      <c r="AH122" s="23">
        <v>2.5000000000000001E-2</v>
      </c>
      <c r="AI122" s="72"/>
      <c r="AJ122" s="159">
        <f t="shared" si="56"/>
        <v>2.5000000000000001E-2</v>
      </c>
      <c r="AK122" s="168">
        <f t="shared" si="89"/>
        <v>845</v>
      </c>
      <c r="AL122" s="160">
        <f t="shared" si="90"/>
        <v>845</v>
      </c>
      <c r="AM122" s="168">
        <f t="shared" si="57"/>
        <v>34645</v>
      </c>
      <c r="AN122" s="160">
        <f t="shared" si="58"/>
        <v>34645</v>
      </c>
      <c r="AO122" s="160" t="str">
        <f t="shared" si="91"/>
        <v>Yes by USD 3,445</v>
      </c>
      <c r="AP122" s="146">
        <f>IF(AQ122=0,0,AQ122/VLOOKUP(S122,Data!$H$22:$I$25,2,FALSE))</f>
        <v>845</v>
      </c>
      <c r="AQ122" s="183">
        <f t="shared" si="59"/>
        <v>845</v>
      </c>
      <c r="AR122" s="165">
        <f t="shared" si="60"/>
        <v>0</v>
      </c>
      <c r="AS122" s="183">
        <f t="shared" si="61"/>
        <v>0</v>
      </c>
      <c r="AT122" s="250">
        <f t="shared" si="62"/>
        <v>0</v>
      </c>
      <c r="AU122" s="146">
        <f t="shared" si="63"/>
        <v>33800</v>
      </c>
      <c r="AV122" s="8">
        <f t="shared" si="64"/>
        <v>33800</v>
      </c>
      <c r="AW122" s="8" t="str">
        <f t="shared" si="65"/>
        <v>Employee to receive full proposed merit increase as a lump sum</v>
      </c>
      <c r="AX122" s="180">
        <f t="shared" si="66"/>
        <v>1.3</v>
      </c>
      <c r="AY122" s="146">
        <f t="shared" si="67"/>
        <v>0</v>
      </c>
      <c r="AZ122" s="146">
        <f t="shared" si="68"/>
        <v>0</v>
      </c>
      <c r="BA122" s="22" t="s">
        <v>159</v>
      </c>
      <c r="BB122" s="149"/>
      <c r="BC122" s="149"/>
      <c r="BD122" s="144"/>
      <c r="BE122" s="146" t="str">
        <f t="shared" si="69"/>
        <v/>
      </c>
      <c r="BF122" s="8" t="str">
        <f t="shared" si="70"/>
        <v/>
      </c>
      <c r="BG122" s="8" t="str">
        <f>IF(LEN(BC122)&gt;0,VLOOKUP(BC122,'Job Codes'!B115:I233,7,FALSE),"")</f>
        <v/>
      </c>
      <c r="BH122" s="192" t="str">
        <f>IF(LEN(BC122)&gt;0,VLOOKUP(BC122,'Job Codes'!B115:I233,8,FALSE),"")</f>
        <v/>
      </c>
      <c r="BI122" s="192" t="str">
        <f>IF(LEN(BC122)&gt;0,VLOOKUP(BC122,'Job Codes'!$B$2:$J$120,9,FALSE),"")</f>
        <v/>
      </c>
      <c r="BJ122" s="146" t="str">
        <f>IF(LEN(BC122)&gt;0,VLOOKUP(BC122,'Job Codes'!$B$2:$I$120,4,FALSE),"")</f>
        <v/>
      </c>
      <c r="BK122" s="146" t="str">
        <f>IF(LEN(BC122)&gt;0,VLOOKUP(BC122,'Job Codes'!$B$2:$I$120,5,FALSE),"")</f>
        <v/>
      </c>
      <c r="BL122" s="146" t="str">
        <f>IF(LEN(BC122)&gt;0,VLOOKUP(BC122,'Job Codes'!$B$2:$I$120,6,FALSE),"")</f>
        <v/>
      </c>
      <c r="BM122" s="168">
        <f t="shared" si="71"/>
        <v>33800</v>
      </c>
      <c r="BN122" s="160">
        <f t="shared" si="72"/>
        <v>33800</v>
      </c>
      <c r="BO122" s="22" t="s">
        <v>159</v>
      </c>
      <c r="BP122" s="157">
        <f>VLOOKUP(I122,'Job Codes'!$B$2:$I$120,8,FALSE)</f>
        <v>0</v>
      </c>
      <c r="BQ122" s="25" t="str">
        <f>IF(O122&gt;Data!$H$33,"Yes","No")</f>
        <v>No</v>
      </c>
      <c r="BR122" s="191">
        <v>0</v>
      </c>
      <c r="BS122" s="150">
        <f t="shared" si="73"/>
        <v>0</v>
      </c>
      <c r="BT122" s="25">
        <f t="shared" si="74"/>
        <v>0</v>
      </c>
      <c r="BU122" s="161">
        <v>1</v>
      </c>
      <c r="BV122" s="168">
        <f t="shared" si="75"/>
        <v>0</v>
      </c>
      <c r="BW122" s="160">
        <f t="shared" si="76"/>
        <v>0</v>
      </c>
      <c r="BX122" s="149"/>
      <c r="BY122" s="32">
        <f t="shared" si="77"/>
        <v>0</v>
      </c>
      <c r="BZ122" s="22" t="s">
        <v>159</v>
      </c>
      <c r="CA122" s="231">
        <f>VLOOKUP(I122,'Job Codes'!$B$2:$J$120,9,FALSE)</f>
        <v>0</v>
      </c>
      <c r="CB122" s="253">
        <f t="shared" si="78"/>
        <v>0</v>
      </c>
      <c r="CC122" s="72"/>
      <c r="CD122" s="25" t="str">
        <f t="shared" si="79"/>
        <v>Meets</v>
      </c>
      <c r="CE122" s="27"/>
      <c r="CF122" s="27"/>
      <c r="CG122" s="27"/>
      <c r="CH122" s="27"/>
      <c r="CI122" s="27"/>
      <c r="CJ122" s="3">
        <v>29271</v>
      </c>
      <c r="CK122" s="3" t="s">
        <v>255</v>
      </c>
      <c r="CL122" s="3">
        <v>4569</v>
      </c>
      <c r="CM122" s="3" t="s">
        <v>161</v>
      </c>
      <c r="CN122" s="3">
        <v>4571</v>
      </c>
      <c r="CO122" s="3" t="s">
        <v>162</v>
      </c>
      <c r="CP122" s="3">
        <v>12345</v>
      </c>
      <c r="CQ122" s="3" t="s">
        <v>163</v>
      </c>
      <c r="CR122" s="246" t="s">
        <v>164</v>
      </c>
      <c r="CS122" s="5" t="s">
        <v>165</v>
      </c>
      <c r="CT122" s="246" t="s">
        <v>256</v>
      </c>
      <c r="CU122" s="247" t="s">
        <v>257</v>
      </c>
      <c r="CV122" s="3" t="str">
        <f t="shared" si="80"/>
        <v>67890;86672</v>
      </c>
      <c r="CW122" s="3" t="s">
        <v>168</v>
      </c>
      <c r="CX122" s="3" t="str">
        <f t="shared" si="81"/>
        <v>AB122;;BB122:BD122;BU122;BX122</v>
      </c>
      <c r="CY122" s="5" t="str">
        <f t="shared" si="82"/>
        <v>Unlock</v>
      </c>
      <c r="CZ122" s="5" t="str">
        <f t="shared" si="83"/>
        <v>Lock</v>
      </c>
      <c r="DA122" s="5" t="str">
        <f t="shared" si="84"/>
        <v>Lock</v>
      </c>
      <c r="DB122" s="5" t="str">
        <f t="shared" si="85"/>
        <v>Lock</v>
      </c>
      <c r="DC122" s="5" t="str">
        <f t="shared" si="86"/>
        <v>Lock</v>
      </c>
      <c r="DD122" s="78">
        <f t="shared" si="87"/>
        <v>2</v>
      </c>
      <c r="DE122" s="2"/>
      <c r="DF122" s="2"/>
      <c r="DG122" s="2"/>
      <c r="DH122" s="2"/>
      <c r="DI122" s="2"/>
      <c r="DJ122" s="2"/>
      <c r="DK122" s="5"/>
      <c r="DL122" s="2"/>
      <c r="DM122" s="2"/>
      <c r="DN122" s="2"/>
      <c r="DO122" s="2"/>
      <c r="DP122" s="2"/>
      <c r="DQ122" s="2"/>
      <c r="DR122" s="2"/>
      <c r="DS122" s="2"/>
      <c r="DT122" s="2"/>
      <c r="DU122" s="2"/>
      <c r="DV122" s="2"/>
      <c r="DW122" s="2"/>
      <c r="DX122" s="2"/>
      <c r="DY122" s="2"/>
      <c r="DZ122" s="2"/>
      <c r="EA122" s="2"/>
      <c r="EB122" s="2"/>
      <c r="EC122" s="2"/>
      <c r="ED122" s="2"/>
      <c r="EE122" s="2"/>
      <c r="EF122" s="1"/>
      <c r="EG122" s="98"/>
      <c r="EH122" s="98"/>
      <c r="EI122" s="1"/>
      <c r="EJ122" s="1"/>
      <c r="EK122" s="98"/>
      <c r="EL122" s="1"/>
    </row>
    <row r="123" spans="1:142">
      <c r="A123" s="32">
        <f t="shared" si="46"/>
        <v>7972</v>
      </c>
      <c r="B123" s="3" t="str">
        <f t="shared" si="47"/>
        <v>sv_statement//Statement//Export Statement&amp;PDFID=Nora Fontes_7972&amp;SO=Y</v>
      </c>
      <c r="C123" s="5" t="str">
        <f t="shared" si="88"/>
        <v>Statement</v>
      </c>
      <c r="D123" s="5" t="str">
        <f t="shared" si="48"/>
        <v>Nora Fontes_7972</v>
      </c>
      <c r="E123" s="5"/>
      <c r="F123" s="5">
        <v>7972</v>
      </c>
      <c r="G123" s="22" t="s">
        <v>403</v>
      </c>
      <c r="H123" s="5" t="s">
        <v>367</v>
      </c>
      <c r="I123" s="5" t="s">
        <v>404</v>
      </c>
      <c r="J123" s="5" t="s">
        <v>252</v>
      </c>
      <c r="K123" s="5" t="s">
        <v>253</v>
      </c>
      <c r="L123" s="31">
        <f t="shared" si="49"/>
        <v>29342</v>
      </c>
      <c r="M123" s="5" t="s">
        <v>254</v>
      </c>
      <c r="N123" s="22" t="s">
        <v>155</v>
      </c>
      <c r="O123" s="100">
        <v>38049</v>
      </c>
      <c r="P123" s="146">
        <f>VLOOKUP(I123,'Job Codes'!$B$2:$I$120,4,FALSE)</f>
        <v>26500</v>
      </c>
      <c r="Q123" s="146">
        <f>VLOOKUP(I123,'Job Codes'!$B$2:$I$120,5,FALSE)</f>
        <v>34450</v>
      </c>
      <c r="R123" s="146">
        <f>VLOOKUP(I123,'Job Codes'!$B$2:$I$120,6,FALSE)</f>
        <v>41340</v>
      </c>
      <c r="S123" s="22" t="s">
        <v>171</v>
      </c>
      <c r="T123" s="146">
        <v>30389</v>
      </c>
      <c r="U123" s="8">
        <f>VLOOKUP(S123,Data!$H$22:$I$25,2,FALSE)*T123</f>
        <v>30389</v>
      </c>
      <c r="V123" s="180">
        <f t="shared" si="50"/>
        <v>0.88211901306240925</v>
      </c>
      <c r="W123" s="180">
        <f t="shared" si="51"/>
        <v>0.13363388068050938</v>
      </c>
      <c r="X123" s="22" t="str">
        <f t="shared" si="52"/>
        <v>Yes</v>
      </c>
      <c r="Y123" s="180">
        <f t="shared" si="53"/>
        <v>0.02</v>
      </c>
      <c r="Z123" s="146">
        <f t="shared" si="54"/>
        <v>607.78</v>
      </c>
      <c r="AA123" s="146">
        <f t="shared" si="55"/>
        <v>607.78</v>
      </c>
      <c r="AB123" s="72"/>
      <c r="AC123" s="146">
        <f>AB123/VLOOKUP(S123,Data!$H$22:$I$25,2,FALSE)</f>
        <v>0</v>
      </c>
      <c r="AD123" s="22" t="s">
        <v>157</v>
      </c>
      <c r="AE123" s="146">
        <f>VLOOKUP(S123,Data!$H$22:$J$25,3,FALSE)*T123</f>
        <v>911.67</v>
      </c>
      <c r="AF123" s="8">
        <f>VLOOKUP(S123,Data!$H$22:$I$25,2,FALSE)*AE123</f>
        <v>911.67</v>
      </c>
      <c r="AG123" s="8" t="s">
        <v>178</v>
      </c>
      <c r="AH123" s="23">
        <v>2.5000000000000001E-2</v>
      </c>
      <c r="AI123" s="72"/>
      <c r="AJ123" s="159">
        <f t="shared" si="56"/>
        <v>2.5000000000000001E-2</v>
      </c>
      <c r="AK123" s="168">
        <f t="shared" si="89"/>
        <v>759.72500000000002</v>
      </c>
      <c r="AL123" s="160">
        <f t="shared" si="90"/>
        <v>759.72500000000002</v>
      </c>
      <c r="AM123" s="168">
        <f t="shared" si="57"/>
        <v>31148.724999999999</v>
      </c>
      <c r="AN123" s="160">
        <f t="shared" si="58"/>
        <v>31148.724999999999</v>
      </c>
      <c r="AO123" s="160" t="str">
        <f t="shared" si="91"/>
        <v>No</v>
      </c>
      <c r="AP123" s="146">
        <f>IF(AQ123=0,0,AQ123/VLOOKUP(S123,Data!$H$22:$I$25,2,FALSE))</f>
        <v>0</v>
      </c>
      <c r="AQ123" s="183">
        <f t="shared" si="59"/>
        <v>0</v>
      </c>
      <c r="AR123" s="165">
        <f t="shared" si="60"/>
        <v>759.72500000000002</v>
      </c>
      <c r="AS123" s="183">
        <f t="shared" si="61"/>
        <v>759.72500000000002</v>
      </c>
      <c r="AT123" s="250">
        <f t="shared" si="62"/>
        <v>2.5000000000000001E-2</v>
      </c>
      <c r="AU123" s="146">
        <f t="shared" si="63"/>
        <v>31148.724999999999</v>
      </c>
      <c r="AV123" s="8">
        <f t="shared" si="64"/>
        <v>31148.724999999999</v>
      </c>
      <c r="AW123" s="8" t="str">
        <f t="shared" si="65"/>
        <v/>
      </c>
      <c r="AX123" s="180">
        <f t="shared" si="66"/>
        <v>0.90417198838896951</v>
      </c>
      <c r="AY123" s="146">
        <f t="shared" si="67"/>
        <v>0</v>
      </c>
      <c r="AZ123" s="146">
        <f t="shared" si="68"/>
        <v>0</v>
      </c>
      <c r="BA123" s="22" t="s">
        <v>159</v>
      </c>
      <c r="BB123" s="149"/>
      <c r="BC123" s="149"/>
      <c r="BD123" s="144"/>
      <c r="BE123" s="146" t="str">
        <f t="shared" si="69"/>
        <v/>
      </c>
      <c r="BF123" s="8" t="str">
        <f t="shared" si="70"/>
        <v/>
      </c>
      <c r="BG123" s="8" t="str">
        <f>IF(LEN(BC123)&gt;0,VLOOKUP(BC123,'Job Codes'!B116:I234,7,FALSE),"")</f>
        <v/>
      </c>
      <c r="BH123" s="192" t="str">
        <f>IF(LEN(BC123)&gt;0,VLOOKUP(BC123,'Job Codes'!B116:I234,8,FALSE),"")</f>
        <v/>
      </c>
      <c r="BI123" s="192" t="str">
        <f>IF(LEN(BC123)&gt;0,VLOOKUP(BC123,'Job Codes'!$B$2:$J$120,9,FALSE),"")</f>
        <v/>
      </c>
      <c r="BJ123" s="146" t="str">
        <f>IF(LEN(BC123)&gt;0,VLOOKUP(BC123,'Job Codes'!$B$2:$I$120,4,FALSE),"")</f>
        <v/>
      </c>
      <c r="BK123" s="146" t="str">
        <f>IF(LEN(BC123)&gt;0,VLOOKUP(BC123,'Job Codes'!$B$2:$I$120,5,FALSE),"")</f>
        <v/>
      </c>
      <c r="BL123" s="146" t="str">
        <f>IF(LEN(BC123)&gt;0,VLOOKUP(BC123,'Job Codes'!$B$2:$I$120,6,FALSE),"")</f>
        <v/>
      </c>
      <c r="BM123" s="168">
        <f t="shared" si="71"/>
        <v>31148.724999999999</v>
      </c>
      <c r="BN123" s="160">
        <f t="shared" si="72"/>
        <v>31148.724999999999</v>
      </c>
      <c r="BO123" s="22" t="s">
        <v>157</v>
      </c>
      <c r="BP123" s="157">
        <f>VLOOKUP(I123,'Job Codes'!$B$2:$I$120,8,FALSE)</f>
        <v>0.05</v>
      </c>
      <c r="BQ123" s="25" t="str">
        <f>IF(O123&gt;Data!$H$33,"Yes","No")</f>
        <v>No</v>
      </c>
      <c r="BR123" s="191">
        <v>0.05</v>
      </c>
      <c r="BS123" s="150">
        <f t="shared" si="73"/>
        <v>1519.45</v>
      </c>
      <c r="BT123" s="25">
        <f t="shared" si="74"/>
        <v>1519.45</v>
      </c>
      <c r="BU123" s="161">
        <v>1</v>
      </c>
      <c r="BV123" s="168">
        <f t="shared" si="75"/>
        <v>1519.45</v>
      </c>
      <c r="BW123" s="160">
        <f t="shared" si="76"/>
        <v>1519.45</v>
      </c>
      <c r="BX123" s="149"/>
      <c r="BY123" s="32">
        <f t="shared" si="77"/>
        <v>0</v>
      </c>
      <c r="BZ123" s="22" t="s">
        <v>159</v>
      </c>
      <c r="CA123" s="231">
        <f>VLOOKUP(I123,'Job Codes'!$B$2:$J$120,9,FALSE)</f>
        <v>0</v>
      </c>
      <c r="CB123" s="253">
        <f t="shared" si="78"/>
        <v>0</v>
      </c>
      <c r="CC123" s="72"/>
      <c r="CD123" s="25" t="str">
        <f t="shared" si="79"/>
        <v>Meets</v>
      </c>
      <c r="CE123" s="27"/>
      <c r="CF123" s="27"/>
      <c r="CG123" s="27"/>
      <c r="CH123" s="27"/>
      <c r="CI123" s="27"/>
      <c r="CJ123" s="3">
        <v>29271</v>
      </c>
      <c r="CK123" s="3" t="s">
        <v>255</v>
      </c>
      <c r="CL123" s="3">
        <v>4569</v>
      </c>
      <c r="CM123" s="3" t="s">
        <v>161</v>
      </c>
      <c r="CN123" s="3">
        <v>4571</v>
      </c>
      <c r="CO123" s="3" t="s">
        <v>162</v>
      </c>
      <c r="CP123" s="3">
        <v>12345</v>
      </c>
      <c r="CQ123" s="3" t="s">
        <v>163</v>
      </c>
      <c r="CR123" s="246" t="s">
        <v>164</v>
      </c>
      <c r="CS123" s="5" t="s">
        <v>165</v>
      </c>
      <c r="CT123" s="246" t="s">
        <v>256</v>
      </c>
      <c r="CU123" s="247" t="s">
        <v>257</v>
      </c>
      <c r="CV123" s="3" t="str">
        <f t="shared" si="80"/>
        <v>67890;86672</v>
      </c>
      <c r="CW123" s="3" t="s">
        <v>168</v>
      </c>
      <c r="CX123" s="3" t="str">
        <f t="shared" si="81"/>
        <v>;;BB123:BD123;;CC123</v>
      </c>
      <c r="CY123" s="5" t="str">
        <f t="shared" si="82"/>
        <v>Unlock</v>
      </c>
      <c r="CZ123" s="5" t="str">
        <f t="shared" si="83"/>
        <v>Lock</v>
      </c>
      <c r="DA123" s="5" t="str">
        <f t="shared" si="84"/>
        <v>Lock</v>
      </c>
      <c r="DB123" s="5" t="str">
        <f t="shared" si="85"/>
        <v>Lock</v>
      </c>
      <c r="DC123" s="5" t="str">
        <f t="shared" si="86"/>
        <v>Lock</v>
      </c>
      <c r="DD123" s="78">
        <f t="shared" si="87"/>
        <v>2</v>
      </c>
      <c r="DE123" s="2"/>
      <c r="DF123" s="2"/>
      <c r="DG123" s="2"/>
      <c r="DH123" s="2"/>
      <c r="DI123" s="2"/>
      <c r="DJ123" s="2"/>
      <c r="DK123" s="5"/>
      <c r="DL123" s="2"/>
      <c r="DM123" s="2"/>
      <c r="DN123" s="2"/>
      <c r="DO123" s="2"/>
      <c r="DP123" s="2"/>
      <c r="DQ123" s="2"/>
      <c r="DR123" s="2"/>
      <c r="DS123" s="2"/>
      <c r="DT123" s="2"/>
      <c r="DU123" s="2"/>
      <c r="DV123" s="2"/>
      <c r="DW123" s="2"/>
      <c r="DX123" s="2"/>
      <c r="DY123" s="2"/>
      <c r="DZ123" s="2"/>
      <c r="EA123" s="2"/>
      <c r="EB123" s="2"/>
      <c r="EC123" s="2"/>
      <c r="ED123" s="2"/>
      <c r="EE123" s="2"/>
      <c r="EF123" s="1"/>
      <c r="EG123" s="98"/>
      <c r="EH123" s="98"/>
      <c r="EI123" s="1"/>
      <c r="EJ123" s="1"/>
      <c r="EK123" s="98"/>
      <c r="EL123" s="1"/>
    </row>
    <row r="124" spans="1:142">
      <c r="A124" s="32">
        <f t="shared" si="46"/>
        <v>8043</v>
      </c>
      <c r="B124" s="3" t="str">
        <f t="shared" si="47"/>
        <v>sv_statement//Statement//Export Statement&amp;PDFID=Vincent Gallego_8043&amp;SO=Y</v>
      </c>
      <c r="C124" s="5" t="str">
        <f t="shared" si="88"/>
        <v>Statement</v>
      </c>
      <c r="D124" s="5" t="str">
        <f t="shared" si="48"/>
        <v>Vincent Gallego_8043</v>
      </c>
      <c r="E124" s="5"/>
      <c r="F124" s="5">
        <v>8043</v>
      </c>
      <c r="G124" s="22" t="s">
        <v>405</v>
      </c>
      <c r="H124" s="5" t="s">
        <v>367</v>
      </c>
      <c r="I124" s="5" t="s">
        <v>406</v>
      </c>
      <c r="J124" s="5" t="s">
        <v>252</v>
      </c>
      <c r="K124" s="5" t="s">
        <v>319</v>
      </c>
      <c r="L124" s="31">
        <f t="shared" si="49"/>
        <v>29331</v>
      </c>
      <c r="M124" s="5" t="s">
        <v>320</v>
      </c>
      <c r="N124" s="22" t="s">
        <v>155</v>
      </c>
      <c r="O124" s="100">
        <v>38054</v>
      </c>
      <c r="P124" s="146">
        <f>VLOOKUP(I124,'Job Codes'!$B$2:$I$120,4,FALSE)</f>
        <v>26500</v>
      </c>
      <c r="Q124" s="146">
        <f>VLOOKUP(I124,'Job Codes'!$B$2:$I$120,5,FALSE)</f>
        <v>34450</v>
      </c>
      <c r="R124" s="146">
        <f>VLOOKUP(I124,'Job Codes'!$B$2:$I$120,6,FALSE)</f>
        <v>41340</v>
      </c>
      <c r="S124" s="22" t="s">
        <v>171</v>
      </c>
      <c r="T124" s="146">
        <v>27269</v>
      </c>
      <c r="U124" s="8">
        <f>VLOOKUP(S124,Data!$H$22:$I$25,2,FALSE)*T124</f>
        <v>27269</v>
      </c>
      <c r="V124" s="180">
        <f t="shared" si="50"/>
        <v>0.79155297532656022</v>
      </c>
      <c r="W124" s="180">
        <f t="shared" si="51"/>
        <v>0.26333932304081559</v>
      </c>
      <c r="X124" s="22" t="str">
        <f t="shared" si="52"/>
        <v>Yes</v>
      </c>
      <c r="Y124" s="180">
        <f t="shared" si="53"/>
        <v>0.02</v>
      </c>
      <c r="Z124" s="146">
        <f t="shared" si="54"/>
        <v>545.38</v>
      </c>
      <c r="AA124" s="146">
        <f t="shared" si="55"/>
        <v>545.38</v>
      </c>
      <c r="AB124" s="72"/>
      <c r="AC124" s="146">
        <f>AB124/VLOOKUP(S124,Data!$H$22:$I$25,2,FALSE)</f>
        <v>0</v>
      </c>
      <c r="AD124" s="22" t="s">
        <v>157</v>
      </c>
      <c r="AE124" s="146">
        <f>VLOOKUP(S124,Data!$H$22:$J$25,3,FALSE)*T124</f>
        <v>818.06999999999994</v>
      </c>
      <c r="AF124" s="8">
        <f>VLOOKUP(S124,Data!$H$22:$I$25,2,FALSE)*AE124</f>
        <v>818.06999999999994</v>
      </c>
      <c r="AG124" s="8" t="s">
        <v>172</v>
      </c>
      <c r="AH124" s="23">
        <v>0.05</v>
      </c>
      <c r="AI124" s="72"/>
      <c r="AJ124" s="159">
        <f t="shared" si="56"/>
        <v>0.05</v>
      </c>
      <c r="AK124" s="168">
        <f t="shared" si="89"/>
        <v>1363.45</v>
      </c>
      <c r="AL124" s="160">
        <f t="shared" si="90"/>
        <v>1363.45</v>
      </c>
      <c r="AM124" s="168">
        <f t="shared" si="57"/>
        <v>28632.45</v>
      </c>
      <c r="AN124" s="160">
        <f t="shared" si="58"/>
        <v>28632.45</v>
      </c>
      <c r="AO124" s="160" t="str">
        <f t="shared" si="91"/>
        <v>No</v>
      </c>
      <c r="AP124" s="146">
        <f>IF(AQ124=0,0,AQ124/VLOOKUP(S124,Data!$H$22:$I$25,2,FALSE))</f>
        <v>0</v>
      </c>
      <c r="AQ124" s="183">
        <f t="shared" si="59"/>
        <v>0</v>
      </c>
      <c r="AR124" s="165">
        <f t="shared" si="60"/>
        <v>1363.45</v>
      </c>
      <c r="AS124" s="183">
        <f t="shared" si="61"/>
        <v>1363.45</v>
      </c>
      <c r="AT124" s="250">
        <f t="shared" si="62"/>
        <v>0.05</v>
      </c>
      <c r="AU124" s="146">
        <f t="shared" si="63"/>
        <v>28632.45</v>
      </c>
      <c r="AV124" s="8">
        <f t="shared" si="64"/>
        <v>28632.45</v>
      </c>
      <c r="AW124" s="8" t="str">
        <f t="shared" si="65"/>
        <v>Not within guidelines</v>
      </c>
      <c r="AX124" s="180">
        <f t="shared" si="66"/>
        <v>0.83113062409288829</v>
      </c>
      <c r="AY124" s="146">
        <f t="shared" si="67"/>
        <v>1</v>
      </c>
      <c r="AZ124" s="146">
        <f t="shared" si="68"/>
        <v>1</v>
      </c>
      <c r="BA124" s="22" t="s">
        <v>159</v>
      </c>
      <c r="BB124" s="149"/>
      <c r="BC124" s="149"/>
      <c r="BD124" s="144"/>
      <c r="BE124" s="146" t="str">
        <f t="shared" si="69"/>
        <v/>
      </c>
      <c r="BF124" s="8" t="str">
        <f t="shared" si="70"/>
        <v/>
      </c>
      <c r="BG124" s="8" t="str">
        <f>IF(LEN(BC124)&gt;0,VLOOKUP(BC124,'Job Codes'!B117:I235,7,FALSE),"")</f>
        <v/>
      </c>
      <c r="BH124" s="192" t="str">
        <f>IF(LEN(BC124)&gt;0,VLOOKUP(BC124,'Job Codes'!B117:I235,8,FALSE),"")</f>
        <v/>
      </c>
      <c r="BI124" s="192" t="str">
        <f>IF(LEN(BC124)&gt;0,VLOOKUP(BC124,'Job Codes'!$B$2:$J$120,9,FALSE),"")</f>
        <v/>
      </c>
      <c r="BJ124" s="146" t="str">
        <f>IF(LEN(BC124)&gt;0,VLOOKUP(BC124,'Job Codes'!$B$2:$I$120,4,FALSE),"")</f>
        <v/>
      </c>
      <c r="BK124" s="146" t="str">
        <f>IF(LEN(BC124)&gt;0,VLOOKUP(BC124,'Job Codes'!$B$2:$I$120,5,FALSE),"")</f>
        <v/>
      </c>
      <c r="BL124" s="146" t="str">
        <f>IF(LEN(BC124)&gt;0,VLOOKUP(BC124,'Job Codes'!$B$2:$I$120,6,FALSE),"")</f>
        <v/>
      </c>
      <c r="BM124" s="168">
        <f t="shared" si="71"/>
        <v>28632.45</v>
      </c>
      <c r="BN124" s="160">
        <f t="shared" si="72"/>
        <v>28632.45</v>
      </c>
      <c r="BO124" s="22" t="s">
        <v>157</v>
      </c>
      <c r="BP124" s="157">
        <f>VLOOKUP(I124,'Job Codes'!$B$2:$I$120,8,FALSE)</f>
        <v>0.05</v>
      </c>
      <c r="BQ124" s="25" t="str">
        <f>IF(O124&gt;Data!$H$33,"Yes","No")</f>
        <v>No</v>
      </c>
      <c r="BR124" s="191">
        <v>0.05</v>
      </c>
      <c r="BS124" s="150">
        <f t="shared" si="73"/>
        <v>1363.45</v>
      </c>
      <c r="BT124" s="25">
        <f t="shared" si="74"/>
        <v>1363.45</v>
      </c>
      <c r="BU124" s="161">
        <v>1</v>
      </c>
      <c r="BV124" s="168">
        <f t="shared" si="75"/>
        <v>1363.45</v>
      </c>
      <c r="BW124" s="160">
        <f t="shared" si="76"/>
        <v>1363.45</v>
      </c>
      <c r="BX124" s="149"/>
      <c r="BY124" s="32">
        <f t="shared" si="77"/>
        <v>0</v>
      </c>
      <c r="BZ124" s="22" t="s">
        <v>159</v>
      </c>
      <c r="CA124" s="231">
        <f>VLOOKUP(I124,'Job Codes'!$B$2:$J$120,9,FALSE)</f>
        <v>0</v>
      </c>
      <c r="CB124" s="253">
        <f t="shared" si="78"/>
        <v>0</v>
      </c>
      <c r="CC124" s="72"/>
      <c r="CD124" s="25" t="str">
        <f t="shared" si="79"/>
        <v>Below</v>
      </c>
      <c r="CE124" s="27"/>
      <c r="CF124" s="27"/>
      <c r="CG124" s="27"/>
      <c r="CH124" s="27"/>
      <c r="CI124" s="27"/>
      <c r="CJ124" s="3">
        <v>29271</v>
      </c>
      <c r="CK124" s="3" t="s">
        <v>255</v>
      </c>
      <c r="CL124" s="3">
        <v>4569</v>
      </c>
      <c r="CM124" s="3" t="s">
        <v>161</v>
      </c>
      <c r="CN124" s="3">
        <v>4571</v>
      </c>
      <c r="CO124" s="3" t="s">
        <v>162</v>
      </c>
      <c r="CP124" s="3">
        <v>12345</v>
      </c>
      <c r="CQ124" s="3" t="s">
        <v>163</v>
      </c>
      <c r="CR124" s="246" t="s">
        <v>164</v>
      </c>
      <c r="CS124" s="5" t="s">
        <v>165</v>
      </c>
      <c r="CT124" s="246" t="s">
        <v>256</v>
      </c>
      <c r="CU124" s="247" t="s">
        <v>257</v>
      </c>
      <c r="CV124" s="3" t="str">
        <f t="shared" si="80"/>
        <v>67890;86672</v>
      </c>
      <c r="CW124" s="3" t="s">
        <v>168</v>
      </c>
      <c r="CX124" s="3" t="str">
        <f t="shared" si="81"/>
        <v>;;BB124:BD124;;CC124</v>
      </c>
      <c r="CY124" s="5" t="str">
        <f t="shared" si="82"/>
        <v>Unlock</v>
      </c>
      <c r="CZ124" s="5" t="str">
        <f t="shared" si="83"/>
        <v>Lock</v>
      </c>
      <c r="DA124" s="5" t="str">
        <f t="shared" si="84"/>
        <v>Lock</v>
      </c>
      <c r="DB124" s="5" t="str">
        <f t="shared" si="85"/>
        <v>Lock</v>
      </c>
      <c r="DC124" s="5" t="str">
        <f t="shared" si="86"/>
        <v>Lock</v>
      </c>
      <c r="DD124" s="78">
        <f t="shared" si="87"/>
        <v>2</v>
      </c>
      <c r="DE124" s="2"/>
      <c r="DF124" s="2"/>
      <c r="DG124" s="2"/>
      <c r="DH124" s="2"/>
      <c r="DI124" s="2"/>
      <c r="DJ124" s="2"/>
      <c r="DK124" s="5"/>
      <c r="DL124" s="2"/>
      <c r="DM124" s="2"/>
      <c r="DN124" s="2"/>
      <c r="DO124" s="2"/>
      <c r="DP124" s="2"/>
      <c r="DQ124" s="2"/>
      <c r="DR124" s="2"/>
      <c r="DS124" s="2"/>
      <c r="DT124" s="2"/>
      <c r="DU124" s="2"/>
      <c r="DV124" s="2"/>
      <c r="DW124" s="2"/>
      <c r="DX124" s="2"/>
      <c r="DY124" s="2"/>
      <c r="DZ124" s="2"/>
      <c r="EA124" s="2"/>
      <c r="EB124" s="2"/>
      <c r="EC124" s="2"/>
      <c r="ED124" s="2"/>
      <c r="EE124" s="2"/>
      <c r="EF124" s="1"/>
      <c r="EG124" s="98"/>
      <c r="EH124" s="98"/>
      <c r="EI124" s="1"/>
      <c r="EJ124" s="1"/>
      <c r="EK124" s="98"/>
      <c r="EL124" s="1"/>
    </row>
    <row r="125" spans="1:142">
      <c r="A125" s="32">
        <f t="shared" si="46"/>
        <v>8068</v>
      </c>
      <c r="B125" s="3" t="str">
        <f t="shared" si="47"/>
        <v>sv_statement//Statement//Export Statement&amp;PDFID=Juana Albrecht_8068&amp;SO=Y</v>
      </c>
      <c r="C125" s="5" t="str">
        <f t="shared" si="88"/>
        <v>Statement</v>
      </c>
      <c r="D125" s="5" t="str">
        <f t="shared" si="48"/>
        <v>Juana Albrecht_8068</v>
      </c>
      <c r="E125" s="5"/>
      <c r="F125" s="5">
        <v>8068</v>
      </c>
      <c r="G125" s="22" t="s">
        <v>407</v>
      </c>
      <c r="H125" s="5" t="s">
        <v>367</v>
      </c>
      <c r="I125" s="5" t="s">
        <v>408</v>
      </c>
      <c r="J125" s="5" t="s">
        <v>252</v>
      </c>
      <c r="K125" s="5" t="s">
        <v>319</v>
      </c>
      <c r="L125" s="31">
        <f t="shared" si="49"/>
        <v>29331</v>
      </c>
      <c r="M125" s="5" t="s">
        <v>320</v>
      </c>
      <c r="N125" s="22" t="s">
        <v>155</v>
      </c>
      <c r="O125" s="100">
        <v>38055</v>
      </c>
      <c r="P125" s="146">
        <f>VLOOKUP(I125,'Job Codes'!$B$2:$I$120,4,FALSE)</f>
        <v>29000</v>
      </c>
      <c r="Q125" s="146">
        <f>VLOOKUP(I125,'Job Codes'!$B$2:$I$120,5,FALSE)</f>
        <v>37700</v>
      </c>
      <c r="R125" s="146">
        <f>VLOOKUP(I125,'Job Codes'!$B$2:$I$120,6,FALSE)</f>
        <v>45240</v>
      </c>
      <c r="S125" s="22" t="s">
        <v>171</v>
      </c>
      <c r="T125" s="146">
        <v>30306</v>
      </c>
      <c r="U125" s="8">
        <f>VLOOKUP(S125,Data!$H$22:$I$25,2,FALSE)*T125</f>
        <v>30306</v>
      </c>
      <c r="V125" s="180">
        <f t="shared" si="50"/>
        <v>0.80387267904509285</v>
      </c>
      <c r="W125" s="180">
        <f t="shared" si="51"/>
        <v>0.24397809014716557</v>
      </c>
      <c r="X125" s="22" t="str">
        <f t="shared" si="52"/>
        <v>Yes</v>
      </c>
      <c r="Y125" s="180">
        <f t="shared" si="53"/>
        <v>0.02</v>
      </c>
      <c r="Z125" s="146">
        <f t="shared" si="54"/>
        <v>606.12</v>
      </c>
      <c r="AA125" s="146">
        <f t="shared" si="55"/>
        <v>606.12</v>
      </c>
      <c r="AB125" s="72"/>
      <c r="AC125" s="146">
        <f>AB125/VLOOKUP(S125,Data!$H$22:$I$25,2,FALSE)</f>
        <v>0</v>
      </c>
      <c r="AD125" s="22" t="s">
        <v>157</v>
      </c>
      <c r="AE125" s="146">
        <f>VLOOKUP(S125,Data!$H$22:$J$25,3,FALSE)*T125</f>
        <v>909.18</v>
      </c>
      <c r="AF125" s="8">
        <f>VLOOKUP(S125,Data!$H$22:$I$25,2,FALSE)*AE125</f>
        <v>909.18</v>
      </c>
      <c r="AG125" s="8" t="s">
        <v>178</v>
      </c>
      <c r="AH125" s="23">
        <v>2.5000000000000001E-2</v>
      </c>
      <c r="AI125" s="72"/>
      <c r="AJ125" s="159">
        <f t="shared" si="56"/>
        <v>2.5000000000000001E-2</v>
      </c>
      <c r="AK125" s="168">
        <f t="shared" si="89"/>
        <v>757.65000000000009</v>
      </c>
      <c r="AL125" s="160">
        <f t="shared" si="90"/>
        <v>757.65000000000009</v>
      </c>
      <c r="AM125" s="168">
        <f t="shared" si="57"/>
        <v>31063.65</v>
      </c>
      <c r="AN125" s="160">
        <f t="shared" si="58"/>
        <v>31063.65</v>
      </c>
      <c r="AO125" s="160" t="str">
        <f t="shared" si="91"/>
        <v>No</v>
      </c>
      <c r="AP125" s="146">
        <f>IF(AQ125=0,0,AQ125/VLOOKUP(S125,Data!$H$22:$I$25,2,FALSE))</f>
        <v>0</v>
      </c>
      <c r="AQ125" s="183">
        <f t="shared" si="59"/>
        <v>0</v>
      </c>
      <c r="AR125" s="165">
        <f t="shared" si="60"/>
        <v>757.65000000000009</v>
      </c>
      <c r="AS125" s="183">
        <f t="shared" si="61"/>
        <v>757.65000000000009</v>
      </c>
      <c r="AT125" s="250">
        <f t="shared" si="62"/>
        <v>2.5000000000000001E-2</v>
      </c>
      <c r="AU125" s="146">
        <f t="shared" si="63"/>
        <v>31063.65</v>
      </c>
      <c r="AV125" s="8">
        <f t="shared" si="64"/>
        <v>31063.65</v>
      </c>
      <c r="AW125" s="8" t="str">
        <f t="shared" si="65"/>
        <v/>
      </c>
      <c r="AX125" s="180">
        <f t="shared" si="66"/>
        <v>0.82396949602122016</v>
      </c>
      <c r="AY125" s="146">
        <f t="shared" si="67"/>
        <v>0</v>
      </c>
      <c r="AZ125" s="146">
        <f t="shared" si="68"/>
        <v>0</v>
      </c>
      <c r="BA125" s="22" t="s">
        <v>159</v>
      </c>
      <c r="BB125" s="149"/>
      <c r="BC125" s="149"/>
      <c r="BD125" s="144"/>
      <c r="BE125" s="146" t="str">
        <f t="shared" si="69"/>
        <v/>
      </c>
      <c r="BF125" s="8" t="str">
        <f t="shared" si="70"/>
        <v/>
      </c>
      <c r="BG125" s="8" t="str">
        <f>IF(LEN(BC125)&gt;0,VLOOKUP(BC125,'Job Codes'!B118:I236,7,FALSE),"")</f>
        <v/>
      </c>
      <c r="BH125" s="192" t="str">
        <f>IF(LEN(BC125)&gt;0,VLOOKUP(BC125,'Job Codes'!B118:I236,8,FALSE),"")</f>
        <v/>
      </c>
      <c r="BI125" s="192" t="str">
        <f>IF(LEN(BC125)&gt;0,VLOOKUP(BC125,'Job Codes'!$B$2:$J$120,9,FALSE),"")</f>
        <v/>
      </c>
      <c r="BJ125" s="146" t="str">
        <f>IF(LEN(BC125)&gt;0,VLOOKUP(BC125,'Job Codes'!$B$2:$I$120,4,FALSE),"")</f>
        <v/>
      </c>
      <c r="BK125" s="146" t="str">
        <f>IF(LEN(BC125)&gt;0,VLOOKUP(BC125,'Job Codes'!$B$2:$I$120,5,FALSE),"")</f>
        <v/>
      </c>
      <c r="BL125" s="146" t="str">
        <f>IF(LEN(BC125)&gt;0,VLOOKUP(BC125,'Job Codes'!$B$2:$I$120,6,FALSE),"")</f>
        <v/>
      </c>
      <c r="BM125" s="168">
        <f t="shared" si="71"/>
        <v>31063.65</v>
      </c>
      <c r="BN125" s="160">
        <f t="shared" si="72"/>
        <v>31063.65</v>
      </c>
      <c r="BO125" s="22" t="s">
        <v>157</v>
      </c>
      <c r="BP125" s="157">
        <f>VLOOKUP(I125,'Job Codes'!$B$2:$I$120,8,FALSE)</f>
        <v>0.1</v>
      </c>
      <c r="BQ125" s="25" t="str">
        <f>IF(O125&gt;Data!$H$33,"Yes","No")</f>
        <v>No</v>
      </c>
      <c r="BR125" s="191">
        <v>0.1</v>
      </c>
      <c r="BS125" s="150">
        <f t="shared" si="73"/>
        <v>3030.6000000000004</v>
      </c>
      <c r="BT125" s="25">
        <f t="shared" si="74"/>
        <v>3030.6000000000004</v>
      </c>
      <c r="BU125" s="161">
        <v>1</v>
      </c>
      <c r="BV125" s="168">
        <f t="shared" si="75"/>
        <v>3030.6000000000004</v>
      </c>
      <c r="BW125" s="160">
        <f t="shared" si="76"/>
        <v>3030.6000000000004</v>
      </c>
      <c r="BX125" s="149"/>
      <c r="BY125" s="32">
        <f t="shared" si="77"/>
        <v>0</v>
      </c>
      <c r="BZ125" s="22" t="s">
        <v>157</v>
      </c>
      <c r="CA125" s="231">
        <f>VLOOKUP(I125,'Job Codes'!$B$2:$J$120,9,FALSE)</f>
        <v>0.05</v>
      </c>
      <c r="CB125" s="253">
        <f t="shared" si="78"/>
        <v>1515.3000000000002</v>
      </c>
      <c r="CC125" s="72"/>
      <c r="CD125" s="25" t="str">
        <f t="shared" si="79"/>
        <v>Meets</v>
      </c>
      <c r="CE125" s="27"/>
      <c r="CF125" s="27"/>
      <c r="CG125" s="27"/>
      <c r="CH125" s="27"/>
      <c r="CI125" s="27"/>
      <c r="CJ125" s="3">
        <v>29271</v>
      </c>
      <c r="CK125" s="3" t="s">
        <v>255</v>
      </c>
      <c r="CL125" s="3">
        <v>4569</v>
      </c>
      <c r="CM125" s="3" t="s">
        <v>161</v>
      </c>
      <c r="CN125" s="3">
        <v>4571</v>
      </c>
      <c r="CO125" s="3" t="s">
        <v>162</v>
      </c>
      <c r="CP125" s="3">
        <v>12345</v>
      </c>
      <c r="CQ125" s="3" t="s">
        <v>163</v>
      </c>
      <c r="CR125" s="246" t="s">
        <v>164</v>
      </c>
      <c r="CS125" s="5" t="s">
        <v>165</v>
      </c>
      <c r="CT125" s="246" t="s">
        <v>256</v>
      </c>
      <c r="CU125" s="247" t="s">
        <v>257</v>
      </c>
      <c r="CV125" s="3" t="str">
        <f t="shared" si="80"/>
        <v>67890;86672</v>
      </c>
      <c r="CW125" s="3" t="s">
        <v>168</v>
      </c>
      <c r="CX125" s="3" t="str">
        <f t="shared" si="81"/>
        <v>;;BB125:BD125;;</v>
      </c>
      <c r="CY125" s="5" t="str">
        <f t="shared" si="82"/>
        <v>Unlock</v>
      </c>
      <c r="CZ125" s="5" t="str">
        <f t="shared" si="83"/>
        <v>Lock</v>
      </c>
      <c r="DA125" s="5" t="str">
        <f t="shared" si="84"/>
        <v>Lock</v>
      </c>
      <c r="DB125" s="5" t="str">
        <f t="shared" si="85"/>
        <v>Lock</v>
      </c>
      <c r="DC125" s="5" t="str">
        <f t="shared" si="86"/>
        <v>Lock</v>
      </c>
      <c r="DD125" s="78">
        <f t="shared" si="87"/>
        <v>2</v>
      </c>
      <c r="DE125" s="2"/>
      <c r="DF125" s="2"/>
      <c r="DG125" s="2"/>
      <c r="DH125" s="2"/>
      <c r="DI125" s="2"/>
      <c r="DJ125" s="2"/>
      <c r="DK125" s="5"/>
      <c r="DL125" s="2"/>
      <c r="DM125" s="2"/>
      <c r="DN125" s="2"/>
      <c r="DO125" s="2"/>
      <c r="DP125" s="2"/>
      <c r="DQ125" s="2"/>
      <c r="DR125" s="2"/>
      <c r="DS125" s="2"/>
      <c r="DT125" s="2"/>
      <c r="DU125" s="2"/>
      <c r="DV125" s="2"/>
      <c r="DW125" s="2"/>
      <c r="DX125" s="2"/>
      <c r="DY125" s="2"/>
      <c r="DZ125" s="2"/>
      <c r="EA125" s="2"/>
      <c r="EB125" s="2"/>
      <c r="EC125" s="2"/>
      <c r="ED125" s="2"/>
      <c r="EE125" s="2"/>
      <c r="EF125" s="1"/>
      <c r="EG125" s="98"/>
      <c r="EH125" s="98"/>
      <c r="EI125" s="1"/>
      <c r="EJ125" s="1"/>
      <c r="EK125" s="98"/>
      <c r="EL125" s="1"/>
    </row>
    <row r="126" spans="1:142">
      <c r="A126" s="32">
        <f t="shared" si="46"/>
        <v>8074</v>
      </c>
      <c r="B126" s="3" t="str">
        <f t="shared" si="47"/>
        <v>sv_statement//Statement//Export Statement&amp;PDFID=Chris Wiegand_8074&amp;SO=Y</v>
      </c>
      <c r="C126" s="5" t="str">
        <f t="shared" si="88"/>
        <v>Statement</v>
      </c>
      <c r="D126" s="5" t="str">
        <f t="shared" si="48"/>
        <v>Chris Wiegand_8074</v>
      </c>
      <c r="E126" s="5"/>
      <c r="F126" s="5">
        <v>8074</v>
      </c>
      <c r="G126" s="22" t="s">
        <v>409</v>
      </c>
      <c r="H126" s="5" t="s">
        <v>367</v>
      </c>
      <c r="I126" s="5" t="s">
        <v>410</v>
      </c>
      <c r="J126" s="5" t="s">
        <v>252</v>
      </c>
      <c r="K126" s="5" t="s">
        <v>253</v>
      </c>
      <c r="L126" s="31">
        <f t="shared" si="49"/>
        <v>29342</v>
      </c>
      <c r="M126" s="5" t="s">
        <v>254</v>
      </c>
      <c r="N126" s="22" t="s">
        <v>155</v>
      </c>
      <c r="O126" s="100">
        <v>38052</v>
      </c>
      <c r="P126" s="146">
        <f>VLOOKUP(I126,'Job Codes'!$B$2:$I$120,4,FALSE)</f>
        <v>20000</v>
      </c>
      <c r="Q126" s="146">
        <f>VLOOKUP(I126,'Job Codes'!$B$2:$I$120,5,FALSE)</f>
        <v>26000</v>
      </c>
      <c r="R126" s="146">
        <f>VLOOKUP(I126,'Job Codes'!$B$2:$I$120,6,FALSE)</f>
        <v>31200</v>
      </c>
      <c r="S126" s="22" t="s">
        <v>171</v>
      </c>
      <c r="T126" s="146">
        <v>21000</v>
      </c>
      <c r="U126" s="8">
        <f>VLOOKUP(S126,Data!$H$22:$I$25,2,FALSE)*T126</f>
        <v>21000</v>
      </c>
      <c r="V126" s="180">
        <f t="shared" si="50"/>
        <v>0.80769230769230771</v>
      </c>
      <c r="W126" s="180">
        <f t="shared" si="51"/>
        <v>0.23809523809523808</v>
      </c>
      <c r="X126" s="22" t="str">
        <f t="shared" si="52"/>
        <v>Yes</v>
      </c>
      <c r="Y126" s="180">
        <f t="shared" si="53"/>
        <v>0.02</v>
      </c>
      <c r="Z126" s="146">
        <f t="shared" si="54"/>
        <v>420</v>
      </c>
      <c r="AA126" s="146">
        <f t="shared" si="55"/>
        <v>420</v>
      </c>
      <c r="AB126" s="72"/>
      <c r="AC126" s="146">
        <f>AB126/VLOOKUP(S126,Data!$H$22:$I$25,2,FALSE)</f>
        <v>0</v>
      </c>
      <c r="AD126" s="22" t="s">
        <v>157</v>
      </c>
      <c r="AE126" s="146">
        <f>VLOOKUP(S126,Data!$H$22:$J$25,3,FALSE)*T126</f>
        <v>630</v>
      </c>
      <c r="AF126" s="8">
        <f>VLOOKUP(S126,Data!$H$22:$I$25,2,FALSE)*AE126</f>
        <v>630</v>
      </c>
      <c r="AG126" s="8" t="s">
        <v>178</v>
      </c>
      <c r="AH126" s="23">
        <v>2.5000000000000001E-2</v>
      </c>
      <c r="AI126" s="72"/>
      <c r="AJ126" s="159">
        <f t="shared" si="56"/>
        <v>2.5000000000000001E-2</v>
      </c>
      <c r="AK126" s="168">
        <f t="shared" si="89"/>
        <v>525</v>
      </c>
      <c r="AL126" s="160">
        <f t="shared" si="90"/>
        <v>525</v>
      </c>
      <c r="AM126" s="168">
        <f t="shared" si="57"/>
        <v>21525</v>
      </c>
      <c r="AN126" s="160">
        <f t="shared" si="58"/>
        <v>21525</v>
      </c>
      <c r="AO126" s="160" t="str">
        <f t="shared" si="91"/>
        <v>No</v>
      </c>
      <c r="AP126" s="146">
        <f>IF(AQ126=0,0,AQ126/VLOOKUP(S126,Data!$H$22:$I$25,2,FALSE))</f>
        <v>0</v>
      </c>
      <c r="AQ126" s="183">
        <f t="shared" si="59"/>
        <v>0</v>
      </c>
      <c r="AR126" s="165">
        <f t="shared" si="60"/>
        <v>525</v>
      </c>
      <c r="AS126" s="183">
        <f t="shared" si="61"/>
        <v>525</v>
      </c>
      <c r="AT126" s="250">
        <f t="shared" si="62"/>
        <v>2.5000000000000001E-2</v>
      </c>
      <c r="AU126" s="146">
        <f t="shared" si="63"/>
        <v>21525</v>
      </c>
      <c r="AV126" s="8">
        <f t="shared" si="64"/>
        <v>21525</v>
      </c>
      <c r="AW126" s="8" t="str">
        <f t="shared" si="65"/>
        <v/>
      </c>
      <c r="AX126" s="180">
        <f t="shared" si="66"/>
        <v>0.82788461538461533</v>
      </c>
      <c r="AY126" s="146">
        <f t="shared" si="67"/>
        <v>0</v>
      </c>
      <c r="AZ126" s="146">
        <f t="shared" si="68"/>
        <v>0</v>
      </c>
      <c r="BA126" s="22" t="s">
        <v>159</v>
      </c>
      <c r="BB126" s="149"/>
      <c r="BC126" s="149"/>
      <c r="BD126" s="144"/>
      <c r="BE126" s="146" t="str">
        <f t="shared" si="69"/>
        <v/>
      </c>
      <c r="BF126" s="8" t="str">
        <f t="shared" si="70"/>
        <v/>
      </c>
      <c r="BG126" s="8" t="str">
        <f>IF(LEN(BC126)&gt;0,VLOOKUP(BC126,'Job Codes'!B119:I237,7,FALSE),"")</f>
        <v/>
      </c>
      <c r="BH126" s="192" t="str">
        <f>IF(LEN(BC126)&gt;0,VLOOKUP(BC126,'Job Codes'!B119:I237,8,FALSE),"")</f>
        <v/>
      </c>
      <c r="BI126" s="192" t="str">
        <f>IF(LEN(BC126)&gt;0,VLOOKUP(BC126,'Job Codes'!$B$2:$J$120,9,FALSE),"")</f>
        <v/>
      </c>
      <c r="BJ126" s="146" t="str">
        <f>IF(LEN(BC126)&gt;0,VLOOKUP(BC126,'Job Codes'!$B$2:$I$120,4,FALSE),"")</f>
        <v/>
      </c>
      <c r="BK126" s="146" t="str">
        <f>IF(LEN(BC126)&gt;0,VLOOKUP(BC126,'Job Codes'!$B$2:$I$120,5,FALSE),"")</f>
        <v/>
      </c>
      <c r="BL126" s="146" t="str">
        <f>IF(LEN(BC126)&gt;0,VLOOKUP(BC126,'Job Codes'!$B$2:$I$120,6,FALSE),"")</f>
        <v/>
      </c>
      <c r="BM126" s="168">
        <f t="shared" si="71"/>
        <v>21525</v>
      </c>
      <c r="BN126" s="160">
        <f t="shared" si="72"/>
        <v>21525</v>
      </c>
      <c r="BO126" s="22" t="s">
        <v>159</v>
      </c>
      <c r="BP126" s="157">
        <f>VLOOKUP(I126,'Job Codes'!$B$2:$I$120,8,FALSE)</f>
        <v>0</v>
      </c>
      <c r="BQ126" s="25" t="str">
        <f>IF(O126&gt;Data!$H$33,"Yes","No")</f>
        <v>No</v>
      </c>
      <c r="BR126" s="191">
        <v>0</v>
      </c>
      <c r="BS126" s="150">
        <f t="shared" si="73"/>
        <v>0</v>
      </c>
      <c r="BT126" s="25">
        <f t="shared" si="74"/>
        <v>0</v>
      </c>
      <c r="BU126" s="161">
        <v>1</v>
      </c>
      <c r="BV126" s="168">
        <f t="shared" si="75"/>
        <v>0</v>
      </c>
      <c r="BW126" s="160">
        <f t="shared" si="76"/>
        <v>0</v>
      </c>
      <c r="BX126" s="149"/>
      <c r="BY126" s="32">
        <f t="shared" si="77"/>
        <v>0</v>
      </c>
      <c r="BZ126" s="22" t="s">
        <v>159</v>
      </c>
      <c r="CA126" s="231">
        <f>VLOOKUP(I126,'Job Codes'!$B$2:$J$120,9,FALSE)</f>
        <v>0</v>
      </c>
      <c r="CB126" s="253">
        <f t="shared" si="78"/>
        <v>0</v>
      </c>
      <c r="CC126" s="72"/>
      <c r="CD126" s="25" t="str">
        <f t="shared" si="79"/>
        <v>Meets</v>
      </c>
      <c r="CE126" s="27"/>
      <c r="CF126" s="27"/>
      <c r="CG126" s="27"/>
      <c r="CH126" s="27"/>
      <c r="CI126" s="27"/>
      <c r="CJ126" s="3">
        <v>29271</v>
      </c>
      <c r="CK126" s="3" t="s">
        <v>255</v>
      </c>
      <c r="CL126" s="3">
        <v>4569</v>
      </c>
      <c r="CM126" s="3" t="s">
        <v>161</v>
      </c>
      <c r="CN126" s="3">
        <v>4571</v>
      </c>
      <c r="CO126" s="3" t="s">
        <v>162</v>
      </c>
      <c r="CP126" s="3">
        <v>12345</v>
      </c>
      <c r="CQ126" s="3" t="s">
        <v>163</v>
      </c>
      <c r="CR126" s="246" t="s">
        <v>164</v>
      </c>
      <c r="CS126" s="5" t="s">
        <v>165</v>
      </c>
      <c r="CT126" s="246" t="s">
        <v>256</v>
      </c>
      <c r="CU126" s="247" t="s">
        <v>257</v>
      </c>
      <c r="CV126" s="3" t="str">
        <f t="shared" si="80"/>
        <v>67890;86672</v>
      </c>
      <c r="CW126" s="3" t="s">
        <v>168</v>
      </c>
      <c r="CX126" s="3" t="str">
        <f t="shared" si="81"/>
        <v>;;BB126:BD126;BU126;BX126</v>
      </c>
      <c r="CY126" s="5" t="str">
        <f t="shared" si="82"/>
        <v>Unlock</v>
      </c>
      <c r="CZ126" s="5" t="str">
        <f t="shared" si="83"/>
        <v>Lock</v>
      </c>
      <c r="DA126" s="5" t="str">
        <f t="shared" si="84"/>
        <v>Lock</v>
      </c>
      <c r="DB126" s="5" t="str">
        <f t="shared" si="85"/>
        <v>Lock</v>
      </c>
      <c r="DC126" s="5" t="str">
        <f t="shared" si="86"/>
        <v>Lock</v>
      </c>
      <c r="DD126" s="78">
        <f t="shared" si="87"/>
        <v>2</v>
      </c>
      <c r="DE126" s="2"/>
      <c r="DF126" s="2"/>
      <c r="DG126" s="2"/>
      <c r="DH126" s="2"/>
      <c r="DI126" s="2"/>
      <c r="DJ126" s="2"/>
      <c r="DK126" s="5"/>
      <c r="DL126" s="2"/>
      <c r="DM126" s="2"/>
      <c r="DN126" s="2"/>
      <c r="DO126" s="2"/>
      <c r="DP126" s="2"/>
      <c r="DQ126" s="2"/>
      <c r="DR126" s="2"/>
      <c r="DS126" s="2"/>
      <c r="DT126" s="2"/>
      <c r="DU126" s="2"/>
      <c r="DV126" s="2"/>
      <c r="DW126" s="2"/>
      <c r="DX126" s="2"/>
      <c r="DY126" s="2"/>
      <c r="DZ126" s="2"/>
      <c r="EA126" s="2"/>
      <c r="EB126" s="2"/>
      <c r="EC126" s="2"/>
      <c r="ED126" s="2"/>
      <c r="EE126" s="2"/>
      <c r="EF126" s="1"/>
      <c r="EG126" s="98"/>
      <c r="EH126" s="98"/>
      <c r="EI126" s="1"/>
      <c r="EJ126" s="1"/>
      <c r="EK126" s="98"/>
      <c r="EL126" s="1"/>
    </row>
    <row r="127" spans="1:142">
      <c r="A127" s="32">
        <f t="shared" si="46"/>
        <v>8172</v>
      </c>
      <c r="B127" s="3" t="str">
        <f t="shared" si="47"/>
        <v>sv_statement//Statement//Export Statement&amp;PDFID=Ralph Serna_8172&amp;SO=Y</v>
      </c>
      <c r="C127" s="5" t="str">
        <f t="shared" si="88"/>
        <v>Statement</v>
      </c>
      <c r="D127" s="5" t="str">
        <f t="shared" si="48"/>
        <v>Ralph Serna_8172</v>
      </c>
      <c r="E127" s="5"/>
      <c r="F127" s="5">
        <v>8172</v>
      </c>
      <c r="G127" s="22" t="s">
        <v>411</v>
      </c>
      <c r="H127" s="5" t="s">
        <v>367</v>
      </c>
      <c r="I127" s="5" t="s">
        <v>412</v>
      </c>
      <c r="J127" s="5" t="s">
        <v>252</v>
      </c>
      <c r="K127" s="5" t="s">
        <v>319</v>
      </c>
      <c r="L127" s="31">
        <f t="shared" si="49"/>
        <v>29331</v>
      </c>
      <c r="M127" s="5" t="s">
        <v>320</v>
      </c>
      <c r="N127" s="22" t="s">
        <v>155</v>
      </c>
      <c r="O127" s="100">
        <v>38061</v>
      </c>
      <c r="P127" s="146">
        <f>VLOOKUP(I127,'Job Codes'!$B$2:$I$120,4,FALSE)</f>
        <v>26500</v>
      </c>
      <c r="Q127" s="146">
        <f>VLOOKUP(I127,'Job Codes'!$B$2:$I$120,5,FALSE)</f>
        <v>34450</v>
      </c>
      <c r="R127" s="146">
        <f>VLOOKUP(I127,'Job Codes'!$B$2:$I$120,6,FALSE)</f>
        <v>41340</v>
      </c>
      <c r="S127" s="22" t="s">
        <v>171</v>
      </c>
      <c r="T127" s="146">
        <v>36774</v>
      </c>
      <c r="U127" s="8">
        <f>VLOOKUP(S127,Data!$H$22:$I$25,2,FALSE)*T127</f>
        <v>36774</v>
      </c>
      <c r="V127" s="180">
        <f t="shared" si="50"/>
        <v>1.0674600870827287</v>
      </c>
      <c r="W127" s="180">
        <f t="shared" si="51"/>
        <v>0</v>
      </c>
      <c r="X127" s="22" t="str">
        <f t="shared" si="52"/>
        <v>No</v>
      </c>
      <c r="Y127" s="180">
        <f t="shared" si="53"/>
        <v>0</v>
      </c>
      <c r="Z127" s="146">
        <f t="shared" si="54"/>
        <v>0</v>
      </c>
      <c r="AA127" s="146">
        <f t="shared" si="55"/>
        <v>0</v>
      </c>
      <c r="AB127" s="72"/>
      <c r="AC127" s="146">
        <f>AB127/VLOOKUP(S127,Data!$H$22:$I$25,2,FALSE)</f>
        <v>0</v>
      </c>
      <c r="AD127" s="22" t="s">
        <v>157</v>
      </c>
      <c r="AE127" s="146">
        <f>VLOOKUP(S127,Data!$H$22:$J$25,3,FALSE)*T127</f>
        <v>1103.22</v>
      </c>
      <c r="AF127" s="8">
        <f>VLOOKUP(S127,Data!$H$22:$I$25,2,FALSE)*AE127</f>
        <v>1103.22</v>
      </c>
      <c r="AG127" s="8" t="s">
        <v>178</v>
      </c>
      <c r="AH127" s="23">
        <v>2.5000000000000001E-2</v>
      </c>
      <c r="AI127" s="72"/>
      <c r="AJ127" s="159">
        <f t="shared" si="56"/>
        <v>2.5000000000000001E-2</v>
      </c>
      <c r="AK127" s="168">
        <f t="shared" si="89"/>
        <v>919.35</v>
      </c>
      <c r="AL127" s="160">
        <f t="shared" si="90"/>
        <v>919.35</v>
      </c>
      <c r="AM127" s="168">
        <f t="shared" si="57"/>
        <v>37693.35</v>
      </c>
      <c r="AN127" s="160">
        <f t="shared" si="58"/>
        <v>37693.35</v>
      </c>
      <c r="AO127" s="160" t="str">
        <f t="shared" si="91"/>
        <v>No</v>
      </c>
      <c r="AP127" s="146">
        <f>IF(AQ127=0,0,AQ127/VLOOKUP(S127,Data!$H$22:$I$25,2,FALSE))</f>
        <v>0</v>
      </c>
      <c r="AQ127" s="183">
        <f t="shared" si="59"/>
        <v>0</v>
      </c>
      <c r="AR127" s="165">
        <f t="shared" si="60"/>
        <v>919.35</v>
      </c>
      <c r="AS127" s="183">
        <f t="shared" si="61"/>
        <v>919.35</v>
      </c>
      <c r="AT127" s="250">
        <f t="shared" si="62"/>
        <v>2.5000000000000001E-2</v>
      </c>
      <c r="AU127" s="146">
        <f t="shared" si="63"/>
        <v>37693.35</v>
      </c>
      <c r="AV127" s="8">
        <f t="shared" si="64"/>
        <v>37693.35</v>
      </c>
      <c r="AW127" s="8" t="str">
        <f t="shared" si="65"/>
        <v/>
      </c>
      <c r="AX127" s="180">
        <f t="shared" si="66"/>
        <v>1.0941465892597968</v>
      </c>
      <c r="AY127" s="146">
        <f t="shared" si="67"/>
        <v>0</v>
      </c>
      <c r="AZ127" s="146">
        <f t="shared" si="68"/>
        <v>0</v>
      </c>
      <c r="BA127" s="22" t="s">
        <v>159</v>
      </c>
      <c r="BB127" s="149"/>
      <c r="BC127" s="149"/>
      <c r="BD127" s="144"/>
      <c r="BE127" s="146" t="str">
        <f t="shared" si="69"/>
        <v/>
      </c>
      <c r="BF127" s="8" t="str">
        <f t="shared" si="70"/>
        <v/>
      </c>
      <c r="BG127" s="8" t="str">
        <f>IF(LEN(BC127)&gt;0,VLOOKUP(BC127,'Job Codes'!B120:I238,7,FALSE),"")</f>
        <v/>
      </c>
      <c r="BH127" s="192" t="str">
        <f>IF(LEN(BC127)&gt;0,VLOOKUP(BC127,'Job Codes'!B120:I238,8,FALSE),"")</f>
        <v/>
      </c>
      <c r="BI127" s="192" t="str">
        <f>IF(LEN(BC127)&gt;0,VLOOKUP(BC127,'Job Codes'!$B$2:$J$120,9,FALSE),"")</f>
        <v/>
      </c>
      <c r="BJ127" s="146" t="str">
        <f>IF(LEN(BC127)&gt;0,VLOOKUP(BC127,'Job Codes'!$B$2:$I$120,4,FALSE),"")</f>
        <v/>
      </c>
      <c r="BK127" s="146" t="str">
        <f>IF(LEN(BC127)&gt;0,VLOOKUP(BC127,'Job Codes'!$B$2:$I$120,5,FALSE),"")</f>
        <v/>
      </c>
      <c r="BL127" s="146" t="str">
        <f>IF(LEN(BC127)&gt;0,VLOOKUP(BC127,'Job Codes'!$B$2:$I$120,6,FALSE),"")</f>
        <v/>
      </c>
      <c r="BM127" s="168">
        <f t="shared" si="71"/>
        <v>37693.35</v>
      </c>
      <c r="BN127" s="160">
        <f t="shared" si="72"/>
        <v>37693.35</v>
      </c>
      <c r="BO127" s="22" t="s">
        <v>157</v>
      </c>
      <c r="BP127" s="157">
        <f>VLOOKUP(I127,'Job Codes'!$B$2:$I$120,8,FALSE)</f>
        <v>0.05</v>
      </c>
      <c r="BQ127" s="25" t="str">
        <f>IF(O127&gt;Data!$H$33,"Yes","No")</f>
        <v>No</v>
      </c>
      <c r="BR127" s="191">
        <v>0.05</v>
      </c>
      <c r="BS127" s="150">
        <f t="shared" si="73"/>
        <v>1838.7</v>
      </c>
      <c r="BT127" s="25">
        <f t="shared" si="74"/>
        <v>1838.7</v>
      </c>
      <c r="BU127" s="161">
        <v>1</v>
      </c>
      <c r="BV127" s="168">
        <f t="shared" si="75"/>
        <v>1838.7</v>
      </c>
      <c r="BW127" s="160">
        <f t="shared" si="76"/>
        <v>1838.7</v>
      </c>
      <c r="BX127" s="149"/>
      <c r="BY127" s="32">
        <f t="shared" si="77"/>
        <v>0</v>
      </c>
      <c r="BZ127" s="22" t="s">
        <v>159</v>
      </c>
      <c r="CA127" s="231">
        <f>VLOOKUP(I127,'Job Codes'!$B$2:$J$120,9,FALSE)</f>
        <v>0</v>
      </c>
      <c r="CB127" s="253">
        <f t="shared" si="78"/>
        <v>0</v>
      </c>
      <c r="CC127" s="72"/>
      <c r="CD127" s="25" t="str">
        <f t="shared" si="79"/>
        <v>Meets</v>
      </c>
      <c r="CE127" s="27"/>
      <c r="CF127" s="27"/>
      <c r="CG127" s="27"/>
      <c r="CH127" s="27"/>
      <c r="CI127" s="27"/>
      <c r="CJ127" s="3">
        <v>29271</v>
      </c>
      <c r="CK127" s="3" t="s">
        <v>255</v>
      </c>
      <c r="CL127" s="3">
        <v>4569</v>
      </c>
      <c r="CM127" s="3" t="s">
        <v>161</v>
      </c>
      <c r="CN127" s="3">
        <v>4571</v>
      </c>
      <c r="CO127" s="3" t="s">
        <v>162</v>
      </c>
      <c r="CP127" s="3">
        <v>12345</v>
      </c>
      <c r="CQ127" s="3" t="s">
        <v>163</v>
      </c>
      <c r="CR127" s="246" t="s">
        <v>164</v>
      </c>
      <c r="CS127" s="5" t="s">
        <v>165</v>
      </c>
      <c r="CT127" s="246" t="s">
        <v>256</v>
      </c>
      <c r="CU127" s="247" t="s">
        <v>257</v>
      </c>
      <c r="CV127" s="3" t="str">
        <f t="shared" si="80"/>
        <v>67890;86672</v>
      </c>
      <c r="CW127" s="3" t="s">
        <v>168</v>
      </c>
      <c r="CX127" s="3" t="str">
        <f t="shared" si="81"/>
        <v>AB127;;BB127:BD127;;CC127</v>
      </c>
      <c r="CY127" s="5" t="str">
        <f t="shared" si="82"/>
        <v>Unlock</v>
      </c>
      <c r="CZ127" s="5" t="str">
        <f t="shared" si="83"/>
        <v>Lock</v>
      </c>
      <c r="DA127" s="5" t="str">
        <f t="shared" si="84"/>
        <v>Lock</v>
      </c>
      <c r="DB127" s="5" t="str">
        <f t="shared" si="85"/>
        <v>Lock</v>
      </c>
      <c r="DC127" s="5" t="str">
        <f t="shared" si="86"/>
        <v>Lock</v>
      </c>
      <c r="DD127" s="78">
        <f t="shared" si="87"/>
        <v>2</v>
      </c>
      <c r="DE127" s="2"/>
      <c r="DF127" s="2"/>
      <c r="DG127" s="2"/>
      <c r="DH127" s="2"/>
      <c r="DI127" s="2"/>
      <c r="DJ127" s="2"/>
      <c r="DK127" s="5"/>
      <c r="DL127" s="2"/>
      <c r="DM127" s="2"/>
      <c r="DN127" s="2"/>
      <c r="DO127" s="2"/>
      <c r="DP127" s="2"/>
      <c r="DQ127" s="2"/>
      <c r="DR127" s="2"/>
      <c r="DS127" s="2"/>
      <c r="DT127" s="2"/>
      <c r="DU127" s="2"/>
      <c r="DV127" s="2"/>
      <c r="DW127" s="2"/>
      <c r="DX127" s="2"/>
      <c r="DY127" s="2"/>
      <c r="DZ127" s="2"/>
      <c r="EA127" s="2"/>
      <c r="EB127" s="2"/>
      <c r="EC127" s="2"/>
      <c r="ED127" s="2"/>
      <c r="EE127" s="2"/>
      <c r="EF127" s="1"/>
      <c r="EG127" s="98"/>
      <c r="EH127" s="98"/>
      <c r="EI127" s="1"/>
      <c r="EJ127" s="1"/>
      <c r="EK127" s="98"/>
      <c r="EL127" s="1"/>
    </row>
    <row r="128" spans="1:142">
      <c r="A128" s="32">
        <f t="shared" si="46"/>
        <v>8431</v>
      </c>
      <c r="B128" s="3" t="str">
        <f t="shared" si="47"/>
        <v>sv_statement//Statement//Export Statement&amp;PDFID=Russell Cover_8431&amp;SO=Y</v>
      </c>
      <c r="C128" s="5" t="str">
        <f t="shared" si="88"/>
        <v>Statement</v>
      </c>
      <c r="D128" s="5" t="str">
        <f t="shared" si="48"/>
        <v>Russell Cover_8431</v>
      </c>
      <c r="E128" s="5"/>
      <c r="F128" s="5">
        <v>8431</v>
      </c>
      <c r="G128" s="22" t="s">
        <v>413</v>
      </c>
      <c r="H128" s="5" t="s">
        <v>296</v>
      </c>
      <c r="I128" s="5" t="s">
        <v>330</v>
      </c>
      <c r="J128" s="5" t="s">
        <v>252</v>
      </c>
      <c r="K128" s="5" t="s">
        <v>319</v>
      </c>
      <c r="L128" s="31">
        <f t="shared" si="49"/>
        <v>11351</v>
      </c>
      <c r="M128" s="5" t="s">
        <v>177</v>
      </c>
      <c r="N128" s="22" t="s">
        <v>155</v>
      </c>
      <c r="O128" s="100">
        <v>38075</v>
      </c>
      <c r="P128" s="146">
        <f>VLOOKUP(I128,'Job Codes'!$B$2:$I$120,4,FALSE)</f>
        <v>29000</v>
      </c>
      <c r="Q128" s="146">
        <f>VLOOKUP(I128,'Job Codes'!$B$2:$I$120,5,FALSE)</f>
        <v>37700</v>
      </c>
      <c r="R128" s="146">
        <f>VLOOKUP(I128,'Job Codes'!$B$2:$I$120,6,FALSE)</f>
        <v>45240</v>
      </c>
      <c r="S128" s="22" t="s">
        <v>171</v>
      </c>
      <c r="T128" s="146">
        <v>36920</v>
      </c>
      <c r="U128" s="8">
        <f>VLOOKUP(S128,Data!$H$22:$I$25,2,FALSE)*T128</f>
        <v>36920</v>
      </c>
      <c r="V128" s="180">
        <f t="shared" si="50"/>
        <v>0.97931034482758617</v>
      </c>
      <c r="W128" s="180">
        <f t="shared" si="51"/>
        <v>2.1126760563380281E-2</v>
      </c>
      <c r="X128" s="22" t="str">
        <f t="shared" si="52"/>
        <v>No</v>
      </c>
      <c r="Y128" s="180">
        <f t="shared" si="53"/>
        <v>0</v>
      </c>
      <c r="Z128" s="146">
        <f t="shared" si="54"/>
        <v>0</v>
      </c>
      <c r="AA128" s="146">
        <f t="shared" si="55"/>
        <v>0</v>
      </c>
      <c r="AB128" s="72"/>
      <c r="AC128" s="146">
        <f>AB128/VLOOKUP(S128,Data!$H$22:$I$25,2,FALSE)</f>
        <v>0</v>
      </c>
      <c r="AD128" s="22" t="s">
        <v>157</v>
      </c>
      <c r="AE128" s="146">
        <f>VLOOKUP(S128,Data!$H$22:$J$25,3,FALSE)*T128</f>
        <v>1107.5999999999999</v>
      </c>
      <c r="AF128" s="8">
        <f>VLOOKUP(S128,Data!$H$22:$I$25,2,FALSE)*AE128</f>
        <v>1107.5999999999999</v>
      </c>
      <c r="AG128" s="8" t="s">
        <v>158</v>
      </c>
      <c r="AH128" s="23">
        <v>4.4999999999999998E-2</v>
      </c>
      <c r="AI128" s="72"/>
      <c r="AJ128" s="159">
        <f t="shared" si="56"/>
        <v>4.4999999999999998E-2</v>
      </c>
      <c r="AK128" s="168">
        <f t="shared" si="89"/>
        <v>1661.3999999999999</v>
      </c>
      <c r="AL128" s="160">
        <f t="shared" si="90"/>
        <v>1661.3999999999999</v>
      </c>
      <c r="AM128" s="168">
        <f t="shared" si="57"/>
        <v>38581.4</v>
      </c>
      <c r="AN128" s="160">
        <f t="shared" si="58"/>
        <v>38581.4</v>
      </c>
      <c r="AO128" s="160" t="str">
        <f t="shared" si="91"/>
        <v>No</v>
      </c>
      <c r="AP128" s="146">
        <f>IF(AQ128=0,0,AQ128/VLOOKUP(S128,Data!$H$22:$I$25,2,FALSE))</f>
        <v>0</v>
      </c>
      <c r="AQ128" s="183">
        <f t="shared" si="59"/>
        <v>0</v>
      </c>
      <c r="AR128" s="165">
        <f t="shared" si="60"/>
        <v>1661.3999999999999</v>
      </c>
      <c r="AS128" s="183">
        <f t="shared" si="61"/>
        <v>1661.3999999999999</v>
      </c>
      <c r="AT128" s="250">
        <f t="shared" si="62"/>
        <v>4.4999999999999998E-2</v>
      </c>
      <c r="AU128" s="146">
        <f t="shared" si="63"/>
        <v>38581.4</v>
      </c>
      <c r="AV128" s="8">
        <f t="shared" si="64"/>
        <v>38581.4</v>
      </c>
      <c r="AW128" s="8" t="str">
        <f t="shared" si="65"/>
        <v/>
      </c>
      <c r="AX128" s="180">
        <f t="shared" si="66"/>
        <v>1.0233793103448277</v>
      </c>
      <c r="AY128" s="146">
        <f t="shared" si="67"/>
        <v>0</v>
      </c>
      <c r="AZ128" s="146">
        <f t="shared" si="68"/>
        <v>0</v>
      </c>
      <c r="BA128" s="22" t="s">
        <v>159</v>
      </c>
      <c r="BB128" s="149"/>
      <c r="BC128" s="149"/>
      <c r="BD128" s="144"/>
      <c r="BE128" s="146" t="str">
        <f t="shared" si="69"/>
        <v/>
      </c>
      <c r="BF128" s="8" t="str">
        <f t="shared" si="70"/>
        <v/>
      </c>
      <c r="BG128" s="8" t="str">
        <f>IF(LEN(BC128)&gt;0,VLOOKUP(BC128,'Job Codes'!B121:I239,7,FALSE),"")</f>
        <v/>
      </c>
      <c r="BH128" s="192" t="str">
        <f>IF(LEN(BC128)&gt;0,VLOOKUP(BC128,'Job Codes'!B121:I239,8,FALSE),"")</f>
        <v/>
      </c>
      <c r="BI128" s="192" t="str">
        <f>IF(LEN(BC128)&gt;0,VLOOKUP(BC128,'Job Codes'!$B$2:$J$120,9,FALSE),"")</f>
        <v/>
      </c>
      <c r="BJ128" s="146" t="str">
        <f>IF(LEN(BC128)&gt;0,VLOOKUP(BC128,'Job Codes'!$B$2:$I$120,4,FALSE),"")</f>
        <v/>
      </c>
      <c r="BK128" s="146" t="str">
        <f>IF(LEN(BC128)&gt;0,VLOOKUP(BC128,'Job Codes'!$B$2:$I$120,5,FALSE),"")</f>
        <v/>
      </c>
      <c r="BL128" s="146" t="str">
        <f>IF(LEN(BC128)&gt;0,VLOOKUP(BC128,'Job Codes'!$B$2:$I$120,6,FALSE),"")</f>
        <v/>
      </c>
      <c r="BM128" s="168">
        <f t="shared" si="71"/>
        <v>38581.4</v>
      </c>
      <c r="BN128" s="160">
        <f t="shared" si="72"/>
        <v>38581.4</v>
      </c>
      <c r="BO128" s="22" t="s">
        <v>157</v>
      </c>
      <c r="BP128" s="157">
        <f>VLOOKUP(I128,'Job Codes'!$B$2:$I$120,8,FALSE)</f>
        <v>0.1</v>
      </c>
      <c r="BQ128" s="25" t="str">
        <f>IF(O128&gt;Data!$H$33,"Yes","No")</f>
        <v>No</v>
      </c>
      <c r="BR128" s="191">
        <v>0.1</v>
      </c>
      <c r="BS128" s="150">
        <f t="shared" si="73"/>
        <v>3692</v>
      </c>
      <c r="BT128" s="25">
        <f t="shared" si="74"/>
        <v>3692</v>
      </c>
      <c r="BU128" s="161">
        <v>1</v>
      </c>
      <c r="BV128" s="168">
        <f t="shared" si="75"/>
        <v>3692</v>
      </c>
      <c r="BW128" s="160">
        <f t="shared" si="76"/>
        <v>3692</v>
      </c>
      <c r="BX128" s="149"/>
      <c r="BY128" s="32">
        <f t="shared" si="77"/>
        <v>0</v>
      </c>
      <c r="BZ128" s="22" t="s">
        <v>157</v>
      </c>
      <c r="CA128" s="231">
        <f>VLOOKUP(I128,'Job Codes'!$B$2:$J$120,9,FALSE)</f>
        <v>0.05</v>
      </c>
      <c r="CB128" s="253">
        <f t="shared" si="78"/>
        <v>1846</v>
      </c>
      <c r="CC128" s="72"/>
      <c r="CD128" s="25" t="str">
        <f t="shared" si="79"/>
        <v>Exceeds</v>
      </c>
      <c r="CE128" s="27"/>
      <c r="CF128" s="27"/>
      <c r="CG128" s="27"/>
      <c r="CH128" s="27"/>
      <c r="CI128" s="27"/>
      <c r="CJ128" s="3">
        <v>11308</v>
      </c>
      <c r="CK128" s="3" t="s">
        <v>154</v>
      </c>
      <c r="CL128" s="3">
        <v>4569</v>
      </c>
      <c r="CM128" s="3" t="s">
        <v>161</v>
      </c>
      <c r="CN128" s="3">
        <v>4571</v>
      </c>
      <c r="CO128" s="3" t="s">
        <v>162</v>
      </c>
      <c r="CP128" s="3">
        <v>12345</v>
      </c>
      <c r="CQ128" s="3" t="s">
        <v>163</v>
      </c>
      <c r="CR128" s="246" t="s">
        <v>179</v>
      </c>
      <c r="CS128" s="247" t="s">
        <v>180</v>
      </c>
      <c r="CT128" s="246" t="s">
        <v>166</v>
      </c>
      <c r="CU128" s="247" t="s">
        <v>167</v>
      </c>
      <c r="CV128" s="3" t="str">
        <f t="shared" si="80"/>
        <v>90876;99485</v>
      </c>
      <c r="CW128" s="3" t="s">
        <v>168</v>
      </c>
      <c r="CX128" s="3" t="str">
        <f t="shared" si="81"/>
        <v>AB128;;BB128:BD128;;</v>
      </c>
      <c r="CY128" s="5" t="str">
        <f t="shared" si="82"/>
        <v>Unlock</v>
      </c>
      <c r="CZ128" s="5" t="str">
        <f t="shared" si="83"/>
        <v>Lock</v>
      </c>
      <c r="DA128" s="5" t="str">
        <f t="shared" si="84"/>
        <v>Lock</v>
      </c>
      <c r="DB128" s="5" t="str">
        <f t="shared" si="85"/>
        <v>Lock</v>
      </c>
      <c r="DC128" s="5" t="str">
        <f t="shared" si="86"/>
        <v>Lock</v>
      </c>
      <c r="DD128" s="78">
        <f t="shared" si="87"/>
        <v>2</v>
      </c>
      <c r="DE128" s="2"/>
      <c r="DF128" s="2"/>
      <c r="DG128" s="2"/>
      <c r="DH128" s="2"/>
      <c r="DI128" s="2"/>
      <c r="DJ128" s="2"/>
      <c r="DK128" s="5"/>
      <c r="DL128" s="2"/>
      <c r="DM128" s="2"/>
      <c r="DN128" s="2"/>
      <c r="DO128" s="2"/>
      <c r="DP128" s="2"/>
      <c r="DQ128" s="2"/>
      <c r="DR128" s="2"/>
      <c r="DS128" s="2"/>
      <c r="DT128" s="2"/>
      <c r="DU128" s="2"/>
      <c r="DV128" s="2"/>
      <c r="DW128" s="2"/>
      <c r="DX128" s="2"/>
      <c r="DY128" s="2"/>
      <c r="DZ128" s="2"/>
      <c r="EA128" s="2"/>
      <c r="EB128" s="2"/>
      <c r="EC128" s="2"/>
      <c r="ED128" s="2"/>
      <c r="EE128" s="2"/>
      <c r="EF128" s="1"/>
      <c r="EG128" s="98"/>
      <c r="EH128" s="98"/>
      <c r="EI128" s="1"/>
      <c r="EJ128" s="1"/>
      <c r="EK128" s="98"/>
      <c r="EL128" s="1"/>
    </row>
    <row r="129" spans="1:142">
      <c r="A129" s="32">
        <f t="shared" si="46"/>
        <v>8551</v>
      </c>
      <c r="B129" s="3" t="str">
        <f t="shared" si="47"/>
        <v>sv_statement//Statement//Export Statement&amp;PDFID=Krista Norton_8551&amp;SO=Y</v>
      </c>
      <c r="C129" s="5" t="str">
        <f t="shared" si="88"/>
        <v>Statement</v>
      </c>
      <c r="D129" s="5" t="str">
        <f t="shared" si="48"/>
        <v>Krista Norton_8551</v>
      </c>
      <c r="E129" s="5"/>
      <c r="F129" s="5">
        <v>8551</v>
      </c>
      <c r="G129" s="22" t="s">
        <v>414</v>
      </c>
      <c r="H129" s="5" t="s">
        <v>150</v>
      </c>
      <c r="I129" s="5" t="s">
        <v>186</v>
      </c>
      <c r="J129" s="5" t="s">
        <v>252</v>
      </c>
      <c r="K129" s="5" t="s">
        <v>319</v>
      </c>
      <c r="L129" s="31">
        <f t="shared" si="49"/>
        <v>11308</v>
      </c>
      <c r="M129" s="5" t="s">
        <v>154</v>
      </c>
      <c r="N129" s="22" t="s">
        <v>155</v>
      </c>
      <c r="O129" s="100">
        <v>38083</v>
      </c>
      <c r="P129" s="146">
        <f>VLOOKUP(I129,'Job Codes'!$B$2:$I$120,4,FALSE)</f>
        <v>26500</v>
      </c>
      <c r="Q129" s="146">
        <f>VLOOKUP(I129,'Job Codes'!$B$2:$I$120,5,FALSE)</f>
        <v>34450</v>
      </c>
      <c r="R129" s="146">
        <f>VLOOKUP(I129,'Job Codes'!$B$2:$I$120,6,FALSE)</f>
        <v>41340</v>
      </c>
      <c r="S129" s="22" t="s">
        <v>171</v>
      </c>
      <c r="T129" s="146">
        <v>31616</v>
      </c>
      <c r="U129" s="8">
        <f>VLOOKUP(S129,Data!$H$22:$I$25,2,FALSE)*T129</f>
        <v>31616</v>
      </c>
      <c r="V129" s="180">
        <f t="shared" si="50"/>
        <v>0.91773584905660377</v>
      </c>
      <c r="W129" s="180">
        <f t="shared" si="51"/>
        <v>8.9638157894736836E-2</v>
      </c>
      <c r="X129" s="22" t="str">
        <f t="shared" si="52"/>
        <v>Yes</v>
      </c>
      <c r="Y129" s="180">
        <f t="shared" si="53"/>
        <v>0.02</v>
      </c>
      <c r="Z129" s="146">
        <f t="shared" si="54"/>
        <v>632.32000000000005</v>
      </c>
      <c r="AA129" s="146">
        <f t="shared" si="55"/>
        <v>632.32000000000005</v>
      </c>
      <c r="AB129" s="72"/>
      <c r="AC129" s="146">
        <f>AB129/VLOOKUP(S129,Data!$H$22:$I$25,2,FALSE)</f>
        <v>0</v>
      </c>
      <c r="AD129" s="22" t="s">
        <v>157</v>
      </c>
      <c r="AE129" s="146">
        <f>VLOOKUP(S129,Data!$H$22:$J$25,3,FALSE)*T129</f>
        <v>948.48</v>
      </c>
      <c r="AF129" s="8">
        <f>VLOOKUP(S129,Data!$H$22:$I$25,2,FALSE)*AE129</f>
        <v>948.48</v>
      </c>
      <c r="AG129" s="8" t="s">
        <v>178</v>
      </c>
      <c r="AH129" s="23">
        <v>2.5000000000000001E-2</v>
      </c>
      <c r="AI129" s="72"/>
      <c r="AJ129" s="159">
        <f t="shared" si="56"/>
        <v>2.5000000000000001E-2</v>
      </c>
      <c r="AK129" s="168">
        <f t="shared" si="89"/>
        <v>790.40000000000009</v>
      </c>
      <c r="AL129" s="160">
        <f t="shared" si="90"/>
        <v>790.40000000000009</v>
      </c>
      <c r="AM129" s="168">
        <f t="shared" si="57"/>
        <v>32406.400000000001</v>
      </c>
      <c r="AN129" s="160">
        <f t="shared" si="58"/>
        <v>32406.400000000001</v>
      </c>
      <c r="AO129" s="160" t="str">
        <f t="shared" si="91"/>
        <v>No</v>
      </c>
      <c r="AP129" s="146">
        <f>IF(AQ129=0,0,AQ129/VLOOKUP(S129,Data!$H$22:$I$25,2,FALSE))</f>
        <v>0</v>
      </c>
      <c r="AQ129" s="183">
        <f t="shared" si="59"/>
        <v>0</v>
      </c>
      <c r="AR129" s="165">
        <f t="shared" si="60"/>
        <v>790.40000000000009</v>
      </c>
      <c r="AS129" s="183">
        <f t="shared" si="61"/>
        <v>790.40000000000009</v>
      </c>
      <c r="AT129" s="250">
        <f t="shared" si="62"/>
        <v>2.5000000000000001E-2</v>
      </c>
      <c r="AU129" s="146">
        <f t="shared" si="63"/>
        <v>32406.400000000001</v>
      </c>
      <c r="AV129" s="8">
        <f t="shared" si="64"/>
        <v>32406.400000000001</v>
      </c>
      <c r="AW129" s="8" t="str">
        <f t="shared" si="65"/>
        <v/>
      </c>
      <c r="AX129" s="180">
        <f t="shared" si="66"/>
        <v>0.94067924528301894</v>
      </c>
      <c r="AY129" s="146">
        <f t="shared" si="67"/>
        <v>0</v>
      </c>
      <c r="AZ129" s="146">
        <f t="shared" si="68"/>
        <v>0</v>
      </c>
      <c r="BA129" s="22" t="s">
        <v>159</v>
      </c>
      <c r="BB129" s="149"/>
      <c r="BC129" s="149"/>
      <c r="BD129" s="144"/>
      <c r="BE129" s="146" t="str">
        <f t="shared" si="69"/>
        <v/>
      </c>
      <c r="BF129" s="8" t="str">
        <f t="shared" si="70"/>
        <v/>
      </c>
      <c r="BG129" s="8" t="str">
        <f>IF(LEN(BC129)&gt;0,VLOOKUP(BC129,'Job Codes'!B122:I240,7,FALSE),"")</f>
        <v/>
      </c>
      <c r="BH129" s="192" t="str">
        <f>IF(LEN(BC129)&gt;0,VLOOKUP(BC129,'Job Codes'!B122:I240,8,FALSE),"")</f>
        <v/>
      </c>
      <c r="BI129" s="192" t="str">
        <f>IF(LEN(BC129)&gt;0,VLOOKUP(BC129,'Job Codes'!$B$2:$J$120,9,FALSE),"")</f>
        <v/>
      </c>
      <c r="BJ129" s="146" t="str">
        <f>IF(LEN(BC129)&gt;0,VLOOKUP(BC129,'Job Codes'!$B$2:$I$120,4,FALSE),"")</f>
        <v/>
      </c>
      <c r="BK129" s="146" t="str">
        <f>IF(LEN(BC129)&gt;0,VLOOKUP(BC129,'Job Codes'!$B$2:$I$120,5,FALSE),"")</f>
        <v/>
      </c>
      <c r="BL129" s="146" t="str">
        <f>IF(LEN(BC129)&gt;0,VLOOKUP(BC129,'Job Codes'!$B$2:$I$120,6,FALSE),"")</f>
        <v/>
      </c>
      <c r="BM129" s="168">
        <f t="shared" si="71"/>
        <v>32406.400000000001</v>
      </c>
      <c r="BN129" s="160">
        <f t="shared" si="72"/>
        <v>32406.400000000001</v>
      </c>
      <c r="BO129" s="22" t="s">
        <v>157</v>
      </c>
      <c r="BP129" s="157">
        <f>VLOOKUP(I129,'Job Codes'!$B$2:$I$120,8,FALSE)</f>
        <v>0.05</v>
      </c>
      <c r="BQ129" s="25" t="str">
        <f>IF(O129&gt;Data!$H$33,"Yes","No")</f>
        <v>No</v>
      </c>
      <c r="BR129" s="191">
        <v>0.05</v>
      </c>
      <c r="BS129" s="150">
        <f t="shared" si="73"/>
        <v>1580.8000000000002</v>
      </c>
      <c r="BT129" s="25">
        <f t="shared" si="74"/>
        <v>1580.8000000000002</v>
      </c>
      <c r="BU129" s="161">
        <v>1</v>
      </c>
      <c r="BV129" s="168">
        <f t="shared" si="75"/>
        <v>1580.8000000000002</v>
      </c>
      <c r="BW129" s="160">
        <f t="shared" si="76"/>
        <v>1580.8000000000002</v>
      </c>
      <c r="BX129" s="149"/>
      <c r="BY129" s="32">
        <f t="shared" si="77"/>
        <v>0</v>
      </c>
      <c r="BZ129" s="22" t="s">
        <v>159</v>
      </c>
      <c r="CA129" s="231">
        <f>VLOOKUP(I129,'Job Codes'!$B$2:$J$120,9,FALSE)</f>
        <v>0</v>
      </c>
      <c r="CB129" s="253">
        <f t="shared" si="78"/>
        <v>0</v>
      </c>
      <c r="CC129" s="72"/>
      <c r="CD129" s="25" t="str">
        <f t="shared" si="79"/>
        <v>Meets</v>
      </c>
      <c r="CE129" s="27"/>
      <c r="CF129" s="27"/>
      <c r="CG129" s="27"/>
      <c r="CH129" s="27"/>
      <c r="CI129" s="27"/>
      <c r="CJ129" s="3"/>
      <c r="CK129" s="3"/>
      <c r="CL129" s="3">
        <v>4569</v>
      </c>
      <c r="CM129" s="3" t="s">
        <v>161</v>
      </c>
      <c r="CN129" s="3">
        <v>4571</v>
      </c>
      <c r="CO129" s="3" t="s">
        <v>162</v>
      </c>
      <c r="CP129" s="3">
        <v>12345</v>
      </c>
      <c r="CQ129" s="3" t="s">
        <v>163</v>
      </c>
      <c r="CR129" s="246" t="s">
        <v>164</v>
      </c>
      <c r="CS129" s="247" t="s">
        <v>165</v>
      </c>
      <c r="CT129" s="246" t="s">
        <v>166</v>
      </c>
      <c r="CU129" s="247" t="s">
        <v>167</v>
      </c>
      <c r="CV129" s="3" t="str">
        <f t="shared" si="80"/>
        <v>67890;99485</v>
      </c>
      <c r="CW129" s="3" t="s">
        <v>168</v>
      </c>
      <c r="CX129" s="3" t="str">
        <f t="shared" si="81"/>
        <v>;;BB129:BD129;;CC129</v>
      </c>
      <c r="CY129" s="5" t="str">
        <f t="shared" si="82"/>
        <v>Unlock</v>
      </c>
      <c r="CZ129" s="5" t="str">
        <f t="shared" si="83"/>
        <v>Lock</v>
      </c>
      <c r="DA129" s="5" t="str">
        <f t="shared" si="84"/>
        <v>Lock</v>
      </c>
      <c r="DB129" s="5" t="str">
        <f t="shared" si="85"/>
        <v>Lock</v>
      </c>
      <c r="DC129" s="5" t="str">
        <f t="shared" si="86"/>
        <v>Lock</v>
      </c>
      <c r="DD129" s="78">
        <f t="shared" si="87"/>
        <v>3</v>
      </c>
      <c r="DE129" s="2"/>
      <c r="DF129" s="2"/>
      <c r="DG129" s="2"/>
      <c r="DH129" s="2"/>
      <c r="DI129" s="2"/>
      <c r="DJ129" s="2"/>
      <c r="DK129" s="5"/>
      <c r="DL129" s="2"/>
      <c r="DM129" s="2"/>
      <c r="DN129" s="2"/>
      <c r="DO129" s="2"/>
      <c r="DP129" s="2"/>
      <c r="DQ129" s="2"/>
      <c r="DR129" s="2"/>
      <c r="DS129" s="2"/>
      <c r="DT129" s="2"/>
      <c r="DU129" s="2"/>
      <c r="DV129" s="2"/>
      <c r="DW129" s="2"/>
      <c r="DX129" s="2"/>
      <c r="DY129" s="2"/>
      <c r="DZ129" s="2"/>
      <c r="EA129" s="2"/>
      <c r="EB129" s="2"/>
      <c r="EC129" s="2"/>
      <c r="ED129" s="2"/>
      <c r="EE129" s="2"/>
      <c r="EF129" s="1"/>
      <c r="EG129" s="98"/>
      <c r="EH129" s="98"/>
      <c r="EI129" s="1"/>
      <c r="EJ129" s="1"/>
      <c r="EK129" s="98"/>
      <c r="EL129" s="1"/>
    </row>
    <row r="130" spans="1:142">
      <c r="A130" s="32">
        <f t="shared" si="46"/>
        <v>8816</v>
      </c>
      <c r="B130" s="3" t="str">
        <f t="shared" si="47"/>
        <v>sv_statement//Statement//Export Statement&amp;PDFID=Ronald Lenhart_8816&amp;SO=Y</v>
      </c>
      <c r="C130" s="5" t="str">
        <f t="shared" si="88"/>
        <v>Statement</v>
      </c>
      <c r="D130" s="5" t="str">
        <f t="shared" si="48"/>
        <v>Ronald Lenhart_8816</v>
      </c>
      <c r="E130" s="5"/>
      <c r="F130" s="5">
        <v>8816</v>
      </c>
      <c r="G130" s="22" t="s">
        <v>415</v>
      </c>
      <c r="H130" s="5" t="s">
        <v>296</v>
      </c>
      <c r="I130" s="5" t="s">
        <v>330</v>
      </c>
      <c r="J130" s="5" t="s">
        <v>252</v>
      </c>
      <c r="K130" s="5" t="s">
        <v>319</v>
      </c>
      <c r="L130" s="31">
        <f t="shared" si="49"/>
        <v>11308</v>
      </c>
      <c r="M130" s="5" t="s">
        <v>154</v>
      </c>
      <c r="N130" s="22" t="s">
        <v>155</v>
      </c>
      <c r="O130" s="100">
        <v>38102</v>
      </c>
      <c r="P130" s="146">
        <f>VLOOKUP(I130,'Job Codes'!$B$2:$I$120,4,FALSE)</f>
        <v>29000</v>
      </c>
      <c r="Q130" s="146">
        <f>VLOOKUP(I130,'Job Codes'!$B$2:$I$120,5,FALSE)</f>
        <v>37700</v>
      </c>
      <c r="R130" s="146">
        <f>VLOOKUP(I130,'Job Codes'!$B$2:$I$120,6,FALSE)</f>
        <v>45240</v>
      </c>
      <c r="S130" s="22" t="s">
        <v>171</v>
      </c>
      <c r="T130" s="146">
        <v>28766</v>
      </c>
      <c r="U130" s="8">
        <f>VLOOKUP(S130,Data!$H$22:$I$25,2,FALSE)*T130</f>
        <v>28766</v>
      </c>
      <c r="V130" s="180">
        <f t="shared" si="50"/>
        <v>0.76302387267904515</v>
      </c>
      <c r="W130" s="180">
        <f t="shared" si="51"/>
        <v>0.31057498435653202</v>
      </c>
      <c r="X130" s="22" t="str">
        <f t="shared" si="52"/>
        <v>Yes</v>
      </c>
      <c r="Y130" s="180">
        <f t="shared" si="53"/>
        <v>0.02</v>
      </c>
      <c r="Z130" s="146">
        <f t="shared" si="54"/>
        <v>575.32000000000005</v>
      </c>
      <c r="AA130" s="146">
        <f t="shared" si="55"/>
        <v>575.32000000000005</v>
      </c>
      <c r="AB130" s="72"/>
      <c r="AC130" s="146">
        <f>AB130/VLOOKUP(S130,Data!$H$22:$I$25,2,FALSE)</f>
        <v>0</v>
      </c>
      <c r="AD130" s="22" t="s">
        <v>157</v>
      </c>
      <c r="AE130" s="146">
        <f>VLOOKUP(S130,Data!$H$22:$J$25,3,FALSE)*T130</f>
        <v>862.98</v>
      </c>
      <c r="AF130" s="8">
        <f>VLOOKUP(S130,Data!$H$22:$I$25,2,FALSE)*AE130</f>
        <v>862.98</v>
      </c>
      <c r="AG130" s="8" t="s">
        <v>178</v>
      </c>
      <c r="AH130" s="23">
        <v>2.5000000000000001E-2</v>
      </c>
      <c r="AI130" s="72"/>
      <c r="AJ130" s="159">
        <f t="shared" si="56"/>
        <v>2.5000000000000005E-2</v>
      </c>
      <c r="AK130" s="168">
        <f t="shared" si="89"/>
        <v>719.15000000000009</v>
      </c>
      <c r="AL130" s="160">
        <f t="shared" si="90"/>
        <v>719.15000000000009</v>
      </c>
      <c r="AM130" s="168">
        <f t="shared" si="57"/>
        <v>29485.15</v>
      </c>
      <c r="AN130" s="160">
        <f t="shared" si="58"/>
        <v>29485.15</v>
      </c>
      <c r="AO130" s="160" t="str">
        <f t="shared" si="91"/>
        <v>No</v>
      </c>
      <c r="AP130" s="146">
        <f>IF(AQ130=0,0,AQ130/VLOOKUP(S130,Data!$H$22:$I$25,2,FALSE))</f>
        <v>0</v>
      </c>
      <c r="AQ130" s="183">
        <f t="shared" si="59"/>
        <v>0</v>
      </c>
      <c r="AR130" s="165">
        <f t="shared" si="60"/>
        <v>719.15000000000009</v>
      </c>
      <c r="AS130" s="183">
        <f t="shared" si="61"/>
        <v>719.15000000000009</v>
      </c>
      <c r="AT130" s="250">
        <f t="shared" si="62"/>
        <v>2.5000000000000005E-2</v>
      </c>
      <c r="AU130" s="146">
        <f t="shared" si="63"/>
        <v>29485.15</v>
      </c>
      <c r="AV130" s="8">
        <f t="shared" si="64"/>
        <v>29485.15</v>
      </c>
      <c r="AW130" s="8" t="str">
        <f t="shared" si="65"/>
        <v/>
      </c>
      <c r="AX130" s="180">
        <f t="shared" si="66"/>
        <v>0.78209946949602127</v>
      </c>
      <c r="AY130" s="146">
        <f t="shared" si="67"/>
        <v>0</v>
      </c>
      <c r="AZ130" s="146">
        <f t="shared" si="68"/>
        <v>0</v>
      </c>
      <c r="BA130" s="22" t="s">
        <v>159</v>
      </c>
      <c r="BB130" s="149"/>
      <c r="BC130" s="149"/>
      <c r="BD130" s="144"/>
      <c r="BE130" s="146" t="str">
        <f t="shared" si="69"/>
        <v/>
      </c>
      <c r="BF130" s="8" t="str">
        <f t="shared" si="70"/>
        <v/>
      </c>
      <c r="BG130" s="8" t="str">
        <f>IF(LEN(BC130)&gt;0,VLOOKUP(BC130,'Job Codes'!B123:I241,7,FALSE),"")</f>
        <v/>
      </c>
      <c r="BH130" s="192" t="str">
        <f>IF(LEN(BC130)&gt;0,VLOOKUP(BC130,'Job Codes'!B123:I241,8,FALSE),"")</f>
        <v/>
      </c>
      <c r="BI130" s="192" t="str">
        <f>IF(LEN(BC130)&gt;0,VLOOKUP(BC130,'Job Codes'!$B$2:$J$120,9,FALSE),"")</f>
        <v/>
      </c>
      <c r="BJ130" s="146" t="str">
        <f>IF(LEN(BC130)&gt;0,VLOOKUP(BC130,'Job Codes'!$B$2:$I$120,4,FALSE),"")</f>
        <v/>
      </c>
      <c r="BK130" s="146" t="str">
        <f>IF(LEN(BC130)&gt;0,VLOOKUP(BC130,'Job Codes'!$B$2:$I$120,5,FALSE),"")</f>
        <v/>
      </c>
      <c r="BL130" s="146" t="str">
        <f>IF(LEN(BC130)&gt;0,VLOOKUP(BC130,'Job Codes'!$B$2:$I$120,6,FALSE),"")</f>
        <v/>
      </c>
      <c r="BM130" s="168">
        <f t="shared" si="71"/>
        <v>29485.15</v>
      </c>
      <c r="BN130" s="160">
        <f t="shared" si="72"/>
        <v>29485.15</v>
      </c>
      <c r="BO130" s="22" t="s">
        <v>157</v>
      </c>
      <c r="BP130" s="157">
        <f>VLOOKUP(I130,'Job Codes'!$B$2:$I$120,8,FALSE)</f>
        <v>0.1</v>
      </c>
      <c r="BQ130" s="25" t="str">
        <f>IF(O130&gt;Data!$H$33,"Yes","No")</f>
        <v>No</v>
      </c>
      <c r="BR130" s="191">
        <v>0.1</v>
      </c>
      <c r="BS130" s="150">
        <f t="shared" si="73"/>
        <v>2876.6000000000004</v>
      </c>
      <c r="BT130" s="25">
        <f t="shared" si="74"/>
        <v>2876.6000000000004</v>
      </c>
      <c r="BU130" s="161">
        <v>1</v>
      </c>
      <c r="BV130" s="168">
        <f t="shared" si="75"/>
        <v>2876.6000000000004</v>
      </c>
      <c r="BW130" s="160">
        <f t="shared" si="76"/>
        <v>2876.6000000000004</v>
      </c>
      <c r="BX130" s="149"/>
      <c r="BY130" s="32">
        <f t="shared" si="77"/>
        <v>0</v>
      </c>
      <c r="BZ130" s="22" t="s">
        <v>157</v>
      </c>
      <c r="CA130" s="231">
        <f>VLOOKUP(I130,'Job Codes'!$B$2:$J$120,9,FALSE)</f>
        <v>0.05</v>
      </c>
      <c r="CB130" s="253">
        <f t="shared" si="78"/>
        <v>1438.3000000000002</v>
      </c>
      <c r="CC130" s="72"/>
      <c r="CD130" s="25" t="str">
        <f t="shared" si="79"/>
        <v>Meets</v>
      </c>
      <c r="CE130" s="27"/>
      <c r="CF130" s="27"/>
      <c r="CG130" s="27"/>
      <c r="CH130" s="27"/>
      <c r="CI130" s="27"/>
      <c r="CJ130" s="3"/>
      <c r="CK130" s="3"/>
      <c r="CL130" s="3">
        <v>4569</v>
      </c>
      <c r="CM130" s="3" t="s">
        <v>161</v>
      </c>
      <c r="CN130" s="3">
        <v>4571</v>
      </c>
      <c r="CO130" s="3" t="s">
        <v>162</v>
      </c>
      <c r="CP130" s="3">
        <v>12345</v>
      </c>
      <c r="CQ130" s="3" t="s">
        <v>163</v>
      </c>
      <c r="CR130" s="246" t="s">
        <v>179</v>
      </c>
      <c r="CS130" s="247" t="s">
        <v>180</v>
      </c>
      <c r="CT130" s="246" t="s">
        <v>199</v>
      </c>
      <c r="CU130" s="247" t="s">
        <v>200</v>
      </c>
      <c r="CV130" s="3" t="str">
        <f t="shared" si="80"/>
        <v>90876;36523</v>
      </c>
      <c r="CW130" s="3" t="s">
        <v>168</v>
      </c>
      <c r="CX130" s="3" t="str">
        <f t="shared" si="81"/>
        <v>;;BB130:BD130;;</v>
      </c>
      <c r="CY130" s="5" t="str">
        <f t="shared" si="82"/>
        <v>Unlock</v>
      </c>
      <c r="CZ130" s="5" t="str">
        <f t="shared" si="83"/>
        <v>Lock</v>
      </c>
      <c r="DA130" s="5" t="str">
        <f t="shared" si="84"/>
        <v>Lock</v>
      </c>
      <c r="DB130" s="5" t="str">
        <f t="shared" si="85"/>
        <v>Lock</v>
      </c>
      <c r="DC130" s="5" t="str">
        <f t="shared" si="86"/>
        <v>Lock</v>
      </c>
      <c r="DD130" s="78">
        <f t="shared" si="87"/>
        <v>3</v>
      </c>
      <c r="DE130" s="2"/>
      <c r="DF130" s="2"/>
      <c r="DG130" s="2"/>
      <c r="DH130" s="2"/>
      <c r="DI130" s="2"/>
      <c r="DJ130" s="2"/>
      <c r="DK130" s="5"/>
      <c r="DL130" s="2"/>
      <c r="DM130" s="2"/>
      <c r="DN130" s="2"/>
      <c r="DO130" s="2"/>
      <c r="DP130" s="2"/>
      <c r="DQ130" s="2"/>
      <c r="DR130" s="2"/>
      <c r="DS130" s="2"/>
      <c r="DT130" s="2"/>
      <c r="DU130" s="2"/>
      <c r="DV130" s="2"/>
      <c r="DW130" s="2"/>
      <c r="DX130" s="2"/>
      <c r="DY130" s="2"/>
      <c r="DZ130" s="2"/>
      <c r="EA130" s="2"/>
      <c r="EB130" s="2"/>
      <c r="EC130" s="2"/>
      <c r="ED130" s="2"/>
      <c r="EE130" s="2"/>
      <c r="EF130" s="1"/>
      <c r="EG130" s="98"/>
      <c r="EH130" s="98"/>
      <c r="EI130" s="1"/>
      <c r="EJ130" s="1"/>
      <c r="EK130" s="98"/>
      <c r="EL130" s="1"/>
    </row>
    <row r="131" spans="1:142">
      <c r="A131" s="32">
        <f t="shared" si="46"/>
        <v>8914</v>
      </c>
      <c r="B131" s="3" t="str">
        <f t="shared" si="47"/>
        <v>sv_statement//Statement//Export Statement&amp;PDFID=Carl Lackey_8914&amp;SO=Y</v>
      </c>
      <c r="C131" s="5" t="str">
        <f t="shared" si="88"/>
        <v>Statement</v>
      </c>
      <c r="D131" s="5" t="str">
        <f t="shared" si="48"/>
        <v>Carl Lackey_8914</v>
      </c>
      <c r="E131" s="5"/>
      <c r="F131" s="5">
        <v>8914</v>
      </c>
      <c r="G131" s="22" t="s">
        <v>416</v>
      </c>
      <c r="H131" s="5" t="s">
        <v>367</v>
      </c>
      <c r="I131" s="5" t="s">
        <v>417</v>
      </c>
      <c r="J131" s="5" t="s">
        <v>252</v>
      </c>
      <c r="K131" s="5" t="s">
        <v>319</v>
      </c>
      <c r="L131" s="31">
        <f t="shared" si="49"/>
        <v>29331</v>
      </c>
      <c r="M131" s="5" t="s">
        <v>320</v>
      </c>
      <c r="N131" s="22" t="s">
        <v>155</v>
      </c>
      <c r="O131" s="100">
        <v>38113</v>
      </c>
      <c r="P131" s="146">
        <f>VLOOKUP(I131,'Job Codes'!$B$2:$I$120,4,FALSE)</f>
        <v>27000</v>
      </c>
      <c r="Q131" s="146">
        <f>VLOOKUP(I131,'Job Codes'!$B$2:$I$120,5,FALSE)</f>
        <v>35100</v>
      </c>
      <c r="R131" s="146">
        <f>VLOOKUP(I131,'Job Codes'!$B$2:$I$120,6,FALSE)</f>
        <v>42120</v>
      </c>
      <c r="S131" s="22" t="s">
        <v>171</v>
      </c>
      <c r="T131" s="146">
        <v>32240</v>
      </c>
      <c r="U131" s="8">
        <f>VLOOKUP(S131,Data!$H$22:$I$25,2,FALSE)*T131</f>
        <v>32240</v>
      </c>
      <c r="V131" s="180">
        <f t="shared" si="50"/>
        <v>0.91851851851851851</v>
      </c>
      <c r="W131" s="180">
        <f t="shared" si="51"/>
        <v>8.8709677419354843E-2</v>
      </c>
      <c r="X131" s="22" t="str">
        <f t="shared" si="52"/>
        <v>Yes</v>
      </c>
      <c r="Y131" s="180">
        <f t="shared" si="53"/>
        <v>0.02</v>
      </c>
      <c r="Z131" s="146">
        <f t="shared" si="54"/>
        <v>644.80000000000007</v>
      </c>
      <c r="AA131" s="146">
        <f t="shared" si="55"/>
        <v>644.80000000000007</v>
      </c>
      <c r="AB131" s="72"/>
      <c r="AC131" s="146">
        <f>AB131/VLOOKUP(S131,Data!$H$22:$I$25,2,FALSE)</f>
        <v>0</v>
      </c>
      <c r="AD131" s="22" t="s">
        <v>157</v>
      </c>
      <c r="AE131" s="146">
        <f>VLOOKUP(S131,Data!$H$22:$J$25,3,FALSE)*T131</f>
        <v>967.19999999999993</v>
      </c>
      <c r="AF131" s="8">
        <f>VLOOKUP(S131,Data!$H$22:$I$25,2,FALSE)*AE131</f>
        <v>967.19999999999993</v>
      </c>
      <c r="AG131" s="8" t="s">
        <v>178</v>
      </c>
      <c r="AH131" s="23">
        <v>2.5000000000000001E-2</v>
      </c>
      <c r="AI131" s="72"/>
      <c r="AJ131" s="159">
        <f t="shared" si="56"/>
        <v>2.5000000000000001E-2</v>
      </c>
      <c r="AK131" s="168">
        <f t="shared" si="89"/>
        <v>806</v>
      </c>
      <c r="AL131" s="160">
        <f t="shared" si="90"/>
        <v>806</v>
      </c>
      <c r="AM131" s="168">
        <f t="shared" si="57"/>
        <v>33046</v>
      </c>
      <c r="AN131" s="160">
        <f t="shared" si="58"/>
        <v>33046</v>
      </c>
      <c r="AO131" s="160" t="str">
        <f t="shared" si="91"/>
        <v>No</v>
      </c>
      <c r="AP131" s="146">
        <f>IF(AQ131=0,0,AQ131/VLOOKUP(S131,Data!$H$22:$I$25,2,FALSE))</f>
        <v>0</v>
      </c>
      <c r="AQ131" s="183">
        <f t="shared" si="59"/>
        <v>0</v>
      </c>
      <c r="AR131" s="165">
        <f t="shared" si="60"/>
        <v>806</v>
      </c>
      <c r="AS131" s="183">
        <f t="shared" si="61"/>
        <v>806</v>
      </c>
      <c r="AT131" s="250">
        <f t="shared" si="62"/>
        <v>2.5000000000000001E-2</v>
      </c>
      <c r="AU131" s="146">
        <f t="shared" si="63"/>
        <v>33046</v>
      </c>
      <c r="AV131" s="8">
        <f t="shared" si="64"/>
        <v>33046</v>
      </c>
      <c r="AW131" s="8" t="str">
        <f t="shared" si="65"/>
        <v/>
      </c>
      <c r="AX131" s="180">
        <f t="shared" si="66"/>
        <v>0.94148148148148147</v>
      </c>
      <c r="AY131" s="146">
        <f t="shared" si="67"/>
        <v>0</v>
      </c>
      <c r="AZ131" s="146">
        <f t="shared" si="68"/>
        <v>0</v>
      </c>
      <c r="BA131" s="22" t="s">
        <v>159</v>
      </c>
      <c r="BB131" s="149"/>
      <c r="BC131" s="149"/>
      <c r="BD131" s="144"/>
      <c r="BE131" s="146" t="str">
        <f t="shared" si="69"/>
        <v/>
      </c>
      <c r="BF131" s="8" t="str">
        <f t="shared" si="70"/>
        <v/>
      </c>
      <c r="BG131" s="8" t="str">
        <f>IF(LEN(BC131)&gt;0,VLOOKUP(BC131,'Job Codes'!B124:I242,7,FALSE),"")</f>
        <v/>
      </c>
      <c r="BH131" s="192" t="str">
        <f>IF(LEN(BC131)&gt;0,VLOOKUP(BC131,'Job Codes'!B124:I242,8,FALSE),"")</f>
        <v/>
      </c>
      <c r="BI131" s="192" t="str">
        <f>IF(LEN(BC131)&gt;0,VLOOKUP(BC131,'Job Codes'!$B$2:$J$120,9,FALSE),"")</f>
        <v/>
      </c>
      <c r="BJ131" s="146" t="str">
        <f>IF(LEN(BC131)&gt;0,VLOOKUP(BC131,'Job Codes'!$B$2:$I$120,4,FALSE),"")</f>
        <v/>
      </c>
      <c r="BK131" s="146" t="str">
        <f>IF(LEN(BC131)&gt;0,VLOOKUP(BC131,'Job Codes'!$B$2:$I$120,5,FALSE),"")</f>
        <v/>
      </c>
      <c r="BL131" s="146" t="str">
        <f>IF(LEN(BC131)&gt;0,VLOOKUP(BC131,'Job Codes'!$B$2:$I$120,6,FALSE),"")</f>
        <v/>
      </c>
      <c r="BM131" s="168">
        <f t="shared" si="71"/>
        <v>33046</v>
      </c>
      <c r="BN131" s="160">
        <f t="shared" si="72"/>
        <v>33046</v>
      </c>
      <c r="BO131" s="22" t="s">
        <v>157</v>
      </c>
      <c r="BP131" s="157">
        <f>VLOOKUP(I131,'Job Codes'!$B$2:$I$120,8,FALSE)</f>
        <v>0.05</v>
      </c>
      <c r="BQ131" s="25" t="str">
        <f>IF(O131&gt;Data!$H$33,"Yes","No")</f>
        <v>No</v>
      </c>
      <c r="BR131" s="191">
        <v>0.05</v>
      </c>
      <c r="BS131" s="150">
        <f t="shared" si="73"/>
        <v>1612</v>
      </c>
      <c r="BT131" s="25">
        <f t="shared" si="74"/>
        <v>1612</v>
      </c>
      <c r="BU131" s="161">
        <v>1</v>
      </c>
      <c r="BV131" s="168">
        <f t="shared" si="75"/>
        <v>1612</v>
      </c>
      <c r="BW131" s="160">
        <f t="shared" si="76"/>
        <v>1612</v>
      </c>
      <c r="BX131" s="149"/>
      <c r="BY131" s="32">
        <f t="shared" si="77"/>
        <v>0</v>
      </c>
      <c r="BZ131" s="22" t="s">
        <v>159</v>
      </c>
      <c r="CA131" s="231">
        <f>VLOOKUP(I131,'Job Codes'!$B$2:$J$120,9,FALSE)</f>
        <v>0</v>
      </c>
      <c r="CB131" s="253">
        <f t="shared" si="78"/>
        <v>0</v>
      </c>
      <c r="CC131" s="72"/>
      <c r="CD131" s="25" t="str">
        <f t="shared" si="79"/>
        <v>Meets</v>
      </c>
      <c r="CE131" s="27"/>
      <c r="CF131" s="27"/>
      <c r="CG131" s="27"/>
      <c r="CH131" s="27"/>
      <c r="CI131" s="27"/>
      <c r="CJ131" s="3">
        <v>29271</v>
      </c>
      <c r="CK131" s="3" t="s">
        <v>255</v>
      </c>
      <c r="CL131" s="3">
        <v>4569</v>
      </c>
      <c r="CM131" s="3" t="s">
        <v>161</v>
      </c>
      <c r="CN131" s="3">
        <v>4571</v>
      </c>
      <c r="CO131" s="3" t="s">
        <v>162</v>
      </c>
      <c r="CP131" s="3">
        <v>12345</v>
      </c>
      <c r="CQ131" s="3" t="s">
        <v>163</v>
      </c>
      <c r="CR131" s="246" t="s">
        <v>164</v>
      </c>
      <c r="CS131" s="5" t="s">
        <v>165</v>
      </c>
      <c r="CT131" s="246" t="s">
        <v>256</v>
      </c>
      <c r="CU131" s="247" t="s">
        <v>257</v>
      </c>
      <c r="CV131" s="3" t="str">
        <f t="shared" si="80"/>
        <v>67890;86672</v>
      </c>
      <c r="CW131" s="3" t="s">
        <v>168</v>
      </c>
      <c r="CX131" s="3" t="str">
        <f t="shared" si="81"/>
        <v>;;BB131:BD131;;CC131</v>
      </c>
      <c r="CY131" s="5" t="str">
        <f t="shared" si="82"/>
        <v>Unlock</v>
      </c>
      <c r="CZ131" s="5" t="str">
        <f t="shared" si="83"/>
        <v>Lock</v>
      </c>
      <c r="DA131" s="5" t="str">
        <f t="shared" si="84"/>
        <v>Lock</v>
      </c>
      <c r="DB131" s="5" t="str">
        <f t="shared" si="85"/>
        <v>Lock</v>
      </c>
      <c r="DC131" s="5" t="str">
        <f t="shared" si="86"/>
        <v>Lock</v>
      </c>
      <c r="DD131" s="78">
        <f t="shared" si="87"/>
        <v>2</v>
      </c>
      <c r="DE131" s="2"/>
      <c r="DF131" s="2"/>
      <c r="DG131" s="2"/>
      <c r="DH131" s="2"/>
      <c r="DI131" s="2"/>
      <c r="DJ131" s="2"/>
      <c r="DK131" s="5"/>
      <c r="DL131" s="2"/>
      <c r="DM131" s="2"/>
      <c r="DN131" s="2"/>
      <c r="DO131" s="2"/>
      <c r="DP131" s="2"/>
      <c r="DQ131" s="2"/>
      <c r="DR131" s="2"/>
      <c r="DS131" s="2"/>
      <c r="DT131" s="2"/>
      <c r="DU131" s="2"/>
      <c r="DV131" s="2"/>
      <c r="DW131" s="2"/>
      <c r="DX131" s="2"/>
      <c r="DY131" s="2"/>
      <c r="DZ131" s="2"/>
      <c r="EA131" s="2"/>
      <c r="EB131" s="2"/>
      <c r="EC131" s="2"/>
      <c r="ED131" s="2"/>
      <c r="EE131" s="2"/>
      <c r="EF131" s="1"/>
      <c r="EG131" s="98"/>
      <c r="EH131" s="98"/>
      <c r="EI131" s="1"/>
      <c r="EJ131" s="1"/>
      <c r="EK131" s="98"/>
      <c r="EL131" s="1"/>
    </row>
    <row r="132" spans="1:142">
      <c r="A132" s="32">
        <f t="shared" si="46"/>
        <v>8922</v>
      </c>
      <c r="B132" s="3" t="str">
        <f t="shared" si="47"/>
        <v>sv_statement//Statement//Export Statement&amp;PDFID=Mark Quiles_8922&amp;SO=Y</v>
      </c>
      <c r="C132" s="5" t="str">
        <f t="shared" si="88"/>
        <v>Statement</v>
      </c>
      <c r="D132" s="5" t="str">
        <f t="shared" si="48"/>
        <v>Mark Quiles_8922</v>
      </c>
      <c r="E132" s="5"/>
      <c r="F132" s="5">
        <v>8922</v>
      </c>
      <c r="G132" s="22" t="s">
        <v>418</v>
      </c>
      <c r="H132" s="5" t="s">
        <v>367</v>
      </c>
      <c r="I132" s="5" t="s">
        <v>419</v>
      </c>
      <c r="J132" s="5" t="s">
        <v>252</v>
      </c>
      <c r="K132" s="5" t="s">
        <v>319</v>
      </c>
      <c r="L132" s="31">
        <f t="shared" si="49"/>
        <v>29331</v>
      </c>
      <c r="M132" s="5" t="s">
        <v>320</v>
      </c>
      <c r="N132" s="22" t="s">
        <v>155</v>
      </c>
      <c r="O132" s="100">
        <v>38117</v>
      </c>
      <c r="P132" s="146">
        <f>VLOOKUP(I132,'Job Codes'!$B$2:$I$120,4,FALSE)</f>
        <v>26500</v>
      </c>
      <c r="Q132" s="146">
        <f>VLOOKUP(I132,'Job Codes'!$B$2:$I$120,5,FALSE)</f>
        <v>34450</v>
      </c>
      <c r="R132" s="146">
        <f>VLOOKUP(I132,'Job Codes'!$B$2:$I$120,6,FALSE)</f>
        <v>41340</v>
      </c>
      <c r="S132" s="22" t="s">
        <v>171</v>
      </c>
      <c r="T132" s="146">
        <v>31533</v>
      </c>
      <c r="U132" s="8">
        <f>VLOOKUP(S132,Data!$H$22:$I$25,2,FALSE)*T132</f>
        <v>31533</v>
      </c>
      <c r="V132" s="180">
        <f t="shared" si="50"/>
        <v>0.91532656023222059</v>
      </c>
      <c r="W132" s="180">
        <f t="shared" si="51"/>
        <v>9.2506263279738682E-2</v>
      </c>
      <c r="X132" s="22" t="str">
        <f t="shared" si="52"/>
        <v>Yes</v>
      </c>
      <c r="Y132" s="180">
        <f t="shared" si="53"/>
        <v>0.02</v>
      </c>
      <c r="Z132" s="146">
        <f t="shared" si="54"/>
        <v>630.66</v>
      </c>
      <c r="AA132" s="146">
        <f t="shared" si="55"/>
        <v>630.66</v>
      </c>
      <c r="AB132" s="72"/>
      <c r="AC132" s="146">
        <f>AB132/VLOOKUP(S132,Data!$H$22:$I$25,2,FALSE)</f>
        <v>0</v>
      </c>
      <c r="AD132" s="22" t="s">
        <v>157</v>
      </c>
      <c r="AE132" s="146">
        <f>VLOOKUP(S132,Data!$H$22:$J$25,3,FALSE)*T132</f>
        <v>945.99</v>
      </c>
      <c r="AF132" s="8">
        <f>VLOOKUP(S132,Data!$H$22:$I$25,2,FALSE)*AE132</f>
        <v>945.99</v>
      </c>
      <c r="AG132" s="8" t="s">
        <v>172</v>
      </c>
      <c r="AH132" s="23">
        <v>3.5000000000000003E-2</v>
      </c>
      <c r="AI132" s="72"/>
      <c r="AJ132" s="159">
        <f t="shared" si="56"/>
        <v>3.5000000000000003E-2</v>
      </c>
      <c r="AK132" s="168">
        <f t="shared" si="89"/>
        <v>1103.6550000000002</v>
      </c>
      <c r="AL132" s="160">
        <f t="shared" si="90"/>
        <v>1103.6550000000002</v>
      </c>
      <c r="AM132" s="168">
        <f t="shared" si="57"/>
        <v>32636.654999999999</v>
      </c>
      <c r="AN132" s="160">
        <f t="shared" si="58"/>
        <v>32636.654999999999</v>
      </c>
      <c r="AO132" s="160" t="str">
        <f t="shared" si="91"/>
        <v>No</v>
      </c>
      <c r="AP132" s="146">
        <f>IF(AQ132=0,0,AQ132/VLOOKUP(S132,Data!$H$22:$I$25,2,FALSE))</f>
        <v>0</v>
      </c>
      <c r="AQ132" s="183">
        <f t="shared" si="59"/>
        <v>0</v>
      </c>
      <c r="AR132" s="165">
        <f t="shared" si="60"/>
        <v>1103.6550000000002</v>
      </c>
      <c r="AS132" s="183">
        <f t="shared" si="61"/>
        <v>1103.6550000000002</v>
      </c>
      <c r="AT132" s="250">
        <f t="shared" si="62"/>
        <v>3.5000000000000003E-2</v>
      </c>
      <c r="AU132" s="146">
        <f t="shared" si="63"/>
        <v>32636.654999999999</v>
      </c>
      <c r="AV132" s="8">
        <f t="shared" si="64"/>
        <v>32636.654999999999</v>
      </c>
      <c r="AW132" s="8" t="str">
        <f t="shared" si="65"/>
        <v>Not within guidelines</v>
      </c>
      <c r="AX132" s="180">
        <f t="shared" si="66"/>
        <v>0.94736298984034828</v>
      </c>
      <c r="AY132" s="146">
        <f t="shared" si="67"/>
        <v>1</v>
      </c>
      <c r="AZ132" s="146">
        <f t="shared" si="68"/>
        <v>1</v>
      </c>
      <c r="BA132" s="22" t="s">
        <v>159</v>
      </c>
      <c r="BB132" s="149"/>
      <c r="BC132" s="149"/>
      <c r="BD132" s="144"/>
      <c r="BE132" s="146" t="str">
        <f t="shared" si="69"/>
        <v/>
      </c>
      <c r="BF132" s="8" t="str">
        <f t="shared" si="70"/>
        <v/>
      </c>
      <c r="BG132" s="8" t="str">
        <f>IF(LEN(BC132)&gt;0,VLOOKUP(BC132,'Job Codes'!B125:I243,7,FALSE),"")</f>
        <v/>
      </c>
      <c r="BH132" s="192" t="str">
        <f>IF(LEN(BC132)&gt;0,VLOOKUP(BC132,'Job Codes'!B125:I243,8,FALSE),"")</f>
        <v/>
      </c>
      <c r="BI132" s="192" t="str">
        <f>IF(LEN(BC132)&gt;0,VLOOKUP(BC132,'Job Codes'!$B$2:$J$120,9,FALSE),"")</f>
        <v/>
      </c>
      <c r="BJ132" s="146" t="str">
        <f>IF(LEN(BC132)&gt;0,VLOOKUP(BC132,'Job Codes'!$B$2:$I$120,4,FALSE),"")</f>
        <v/>
      </c>
      <c r="BK132" s="146" t="str">
        <f>IF(LEN(BC132)&gt;0,VLOOKUP(BC132,'Job Codes'!$B$2:$I$120,5,FALSE),"")</f>
        <v/>
      </c>
      <c r="BL132" s="146" t="str">
        <f>IF(LEN(BC132)&gt;0,VLOOKUP(BC132,'Job Codes'!$B$2:$I$120,6,FALSE),"")</f>
        <v/>
      </c>
      <c r="BM132" s="168">
        <f t="shared" si="71"/>
        <v>32636.654999999999</v>
      </c>
      <c r="BN132" s="160">
        <f t="shared" si="72"/>
        <v>32636.654999999999</v>
      </c>
      <c r="BO132" s="22" t="s">
        <v>157</v>
      </c>
      <c r="BP132" s="157">
        <f>VLOOKUP(I132,'Job Codes'!$B$2:$I$120,8,FALSE)</f>
        <v>0.05</v>
      </c>
      <c r="BQ132" s="25" t="str">
        <f>IF(O132&gt;Data!$H$33,"Yes","No")</f>
        <v>No</v>
      </c>
      <c r="BR132" s="191">
        <v>0.05</v>
      </c>
      <c r="BS132" s="150">
        <f t="shared" si="73"/>
        <v>1576.65</v>
      </c>
      <c r="BT132" s="25">
        <f t="shared" si="74"/>
        <v>1576.65</v>
      </c>
      <c r="BU132" s="161">
        <v>1</v>
      </c>
      <c r="BV132" s="168">
        <f t="shared" si="75"/>
        <v>1576.65</v>
      </c>
      <c r="BW132" s="160">
        <f t="shared" si="76"/>
        <v>1576.65</v>
      </c>
      <c r="BX132" s="149"/>
      <c r="BY132" s="32">
        <f t="shared" si="77"/>
        <v>0</v>
      </c>
      <c r="BZ132" s="22" t="s">
        <v>159</v>
      </c>
      <c r="CA132" s="231">
        <f>VLOOKUP(I132,'Job Codes'!$B$2:$J$120,9,FALSE)</f>
        <v>0</v>
      </c>
      <c r="CB132" s="253">
        <f t="shared" si="78"/>
        <v>0</v>
      </c>
      <c r="CC132" s="72"/>
      <c r="CD132" s="25" t="str">
        <f t="shared" si="79"/>
        <v>Below</v>
      </c>
      <c r="CE132" s="27"/>
      <c r="CF132" s="27"/>
      <c r="CG132" s="27"/>
      <c r="CH132" s="27"/>
      <c r="CI132" s="27"/>
      <c r="CJ132" s="3">
        <v>29271</v>
      </c>
      <c r="CK132" s="3" t="s">
        <v>255</v>
      </c>
      <c r="CL132" s="3">
        <v>4569</v>
      </c>
      <c r="CM132" s="3" t="s">
        <v>161</v>
      </c>
      <c r="CN132" s="3">
        <v>4571</v>
      </c>
      <c r="CO132" s="3" t="s">
        <v>162</v>
      </c>
      <c r="CP132" s="3">
        <v>12345</v>
      </c>
      <c r="CQ132" s="3" t="s">
        <v>163</v>
      </c>
      <c r="CR132" s="246" t="s">
        <v>164</v>
      </c>
      <c r="CS132" s="5" t="s">
        <v>165</v>
      </c>
      <c r="CT132" s="246" t="s">
        <v>256</v>
      </c>
      <c r="CU132" s="247" t="s">
        <v>257</v>
      </c>
      <c r="CV132" s="3" t="str">
        <f t="shared" si="80"/>
        <v>67890;86672</v>
      </c>
      <c r="CW132" s="3" t="s">
        <v>168</v>
      </c>
      <c r="CX132" s="3" t="str">
        <f t="shared" si="81"/>
        <v>;;BB132:BD132;;CC132</v>
      </c>
      <c r="CY132" s="5" t="str">
        <f t="shared" si="82"/>
        <v>Unlock</v>
      </c>
      <c r="CZ132" s="5" t="str">
        <f t="shared" si="83"/>
        <v>Lock</v>
      </c>
      <c r="DA132" s="5" t="str">
        <f t="shared" si="84"/>
        <v>Lock</v>
      </c>
      <c r="DB132" s="5" t="str">
        <f t="shared" si="85"/>
        <v>Lock</v>
      </c>
      <c r="DC132" s="5" t="str">
        <f t="shared" si="86"/>
        <v>Lock</v>
      </c>
      <c r="DD132" s="78">
        <f t="shared" si="87"/>
        <v>2</v>
      </c>
      <c r="DE132" s="2"/>
      <c r="DF132" s="2"/>
      <c r="DG132" s="2"/>
      <c r="DH132" s="2"/>
      <c r="DI132" s="2"/>
      <c r="DJ132" s="2"/>
      <c r="DK132" s="5"/>
      <c r="DL132" s="2"/>
      <c r="DM132" s="2"/>
      <c r="DN132" s="2"/>
      <c r="DO132" s="2"/>
      <c r="DP132" s="2"/>
      <c r="DQ132" s="2"/>
      <c r="DR132" s="2"/>
      <c r="DS132" s="2"/>
      <c r="DT132" s="2"/>
      <c r="DU132" s="2"/>
      <c r="DV132" s="2"/>
      <c r="DW132" s="2"/>
      <c r="DX132" s="2"/>
      <c r="DY132" s="2"/>
      <c r="DZ132" s="2"/>
      <c r="EA132" s="2"/>
      <c r="EB132" s="2"/>
      <c r="EC132" s="2"/>
      <c r="ED132" s="2"/>
      <c r="EE132" s="2"/>
      <c r="EF132" s="1"/>
      <c r="EG132" s="98"/>
      <c r="EH132" s="98"/>
      <c r="EI132" s="1"/>
      <c r="EJ132" s="1"/>
      <c r="EK132" s="98"/>
      <c r="EL132" s="1"/>
    </row>
    <row r="133" spans="1:142">
      <c r="A133" s="32">
        <f t="shared" si="46"/>
        <v>8995</v>
      </c>
      <c r="B133" s="3" t="str">
        <f t="shared" si="47"/>
        <v>sv_statement//Statement//Export Statement&amp;PDFID=Eugene Holcombe_8995&amp;SO=Y</v>
      </c>
      <c r="C133" s="5" t="str">
        <f t="shared" si="88"/>
        <v>Statement</v>
      </c>
      <c r="D133" s="5" t="str">
        <f t="shared" si="48"/>
        <v>Eugene Holcombe_8995</v>
      </c>
      <c r="E133" s="5"/>
      <c r="F133" s="5">
        <v>8995</v>
      </c>
      <c r="G133" s="22" t="s">
        <v>420</v>
      </c>
      <c r="H133" s="5" t="s">
        <v>367</v>
      </c>
      <c r="I133" s="5" t="s">
        <v>421</v>
      </c>
      <c r="J133" s="5" t="s">
        <v>252</v>
      </c>
      <c r="K133" s="5" t="s">
        <v>319</v>
      </c>
      <c r="L133" s="31">
        <f t="shared" si="49"/>
        <v>29331</v>
      </c>
      <c r="M133" s="5" t="s">
        <v>320</v>
      </c>
      <c r="N133" s="22" t="s">
        <v>155</v>
      </c>
      <c r="O133" s="100">
        <v>38124</v>
      </c>
      <c r="P133" s="146">
        <f>VLOOKUP(I133,'Job Codes'!$B$2:$I$120,4,FALSE)</f>
        <v>26500</v>
      </c>
      <c r="Q133" s="146">
        <f>VLOOKUP(I133,'Job Codes'!$B$2:$I$120,5,FALSE)</f>
        <v>34450</v>
      </c>
      <c r="R133" s="146">
        <f>VLOOKUP(I133,'Job Codes'!$B$2:$I$120,6,FALSE)</f>
        <v>41340</v>
      </c>
      <c r="S133" s="22" t="s">
        <v>171</v>
      </c>
      <c r="T133" s="146">
        <v>31595</v>
      </c>
      <c r="U133" s="8">
        <f>VLOOKUP(S133,Data!$H$22:$I$25,2,FALSE)*T133</f>
        <v>31595</v>
      </c>
      <c r="V133" s="180">
        <f t="shared" si="50"/>
        <v>0.91712626995645863</v>
      </c>
      <c r="W133" s="180">
        <f t="shared" si="51"/>
        <v>9.0362399113783826E-2</v>
      </c>
      <c r="X133" s="22" t="str">
        <f t="shared" si="52"/>
        <v>Yes</v>
      </c>
      <c r="Y133" s="180">
        <f t="shared" si="53"/>
        <v>0.02</v>
      </c>
      <c r="Z133" s="146">
        <f t="shared" si="54"/>
        <v>631.9</v>
      </c>
      <c r="AA133" s="146">
        <f t="shared" si="55"/>
        <v>631.9</v>
      </c>
      <c r="AB133" s="72"/>
      <c r="AC133" s="146">
        <f>AB133/VLOOKUP(S133,Data!$H$22:$I$25,2,FALSE)</f>
        <v>0</v>
      </c>
      <c r="AD133" s="22" t="s">
        <v>157</v>
      </c>
      <c r="AE133" s="146">
        <f>VLOOKUP(S133,Data!$H$22:$J$25,3,FALSE)*T133</f>
        <v>947.84999999999991</v>
      </c>
      <c r="AF133" s="8">
        <f>VLOOKUP(S133,Data!$H$22:$I$25,2,FALSE)*AE133</f>
        <v>947.84999999999991</v>
      </c>
      <c r="AG133" s="8" t="s">
        <v>178</v>
      </c>
      <c r="AH133" s="23">
        <v>2.5000000000000001E-2</v>
      </c>
      <c r="AI133" s="72"/>
      <c r="AJ133" s="159">
        <f t="shared" si="56"/>
        <v>2.5000000000000001E-2</v>
      </c>
      <c r="AK133" s="168">
        <f t="shared" si="89"/>
        <v>789.875</v>
      </c>
      <c r="AL133" s="160">
        <f t="shared" si="90"/>
        <v>789.875</v>
      </c>
      <c r="AM133" s="168">
        <f t="shared" si="57"/>
        <v>32384.875</v>
      </c>
      <c r="AN133" s="160">
        <f t="shared" si="58"/>
        <v>32384.875</v>
      </c>
      <c r="AO133" s="160" t="str">
        <f t="shared" si="91"/>
        <v>No</v>
      </c>
      <c r="AP133" s="146">
        <f>IF(AQ133=0,0,AQ133/VLOOKUP(S133,Data!$H$22:$I$25,2,FALSE))</f>
        <v>0</v>
      </c>
      <c r="AQ133" s="183">
        <f t="shared" si="59"/>
        <v>0</v>
      </c>
      <c r="AR133" s="165">
        <f t="shared" si="60"/>
        <v>789.875</v>
      </c>
      <c r="AS133" s="183">
        <f t="shared" si="61"/>
        <v>789.875</v>
      </c>
      <c r="AT133" s="250">
        <f t="shared" si="62"/>
        <v>2.5000000000000001E-2</v>
      </c>
      <c r="AU133" s="146">
        <f t="shared" si="63"/>
        <v>32384.875</v>
      </c>
      <c r="AV133" s="8">
        <f t="shared" si="64"/>
        <v>32384.875</v>
      </c>
      <c r="AW133" s="8" t="str">
        <f t="shared" si="65"/>
        <v/>
      </c>
      <c r="AX133" s="180">
        <f t="shared" si="66"/>
        <v>0.94005442670537009</v>
      </c>
      <c r="AY133" s="146">
        <f t="shared" si="67"/>
        <v>0</v>
      </c>
      <c r="AZ133" s="146">
        <f t="shared" si="68"/>
        <v>0</v>
      </c>
      <c r="BA133" s="22" t="s">
        <v>159</v>
      </c>
      <c r="BB133" s="149"/>
      <c r="BC133" s="149"/>
      <c r="BD133" s="144"/>
      <c r="BE133" s="146" t="str">
        <f t="shared" si="69"/>
        <v/>
      </c>
      <c r="BF133" s="8" t="str">
        <f t="shared" si="70"/>
        <v/>
      </c>
      <c r="BG133" s="8" t="str">
        <f>IF(LEN(BC133)&gt;0,VLOOKUP(BC133,'Job Codes'!B126:I244,7,FALSE),"")</f>
        <v/>
      </c>
      <c r="BH133" s="192" t="str">
        <f>IF(LEN(BC133)&gt;0,VLOOKUP(BC133,'Job Codes'!B126:I244,8,FALSE),"")</f>
        <v/>
      </c>
      <c r="BI133" s="192" t="str">
        <f>IF(LEN(BC133)&gt;0,VLOOKUP(BC133,'Job Codes'!$B$2:$J$120,9,FALSE),"")</f>
        <v/>
      </c>
      <c r="BJ133" s="146" t="str">
        <f>IF(LEN(BC133)&gt;0,VLOOKUP(BC133,'Job Codes'!$B$2:$I$120,4,FALSE),"")</f>
        <v/>
      </c>
      <c r="BK133" s="146" t="str">
        <f>IF(LEN(BC133)&gt;0,VLOOKUP(BC133,'Job Codes'!$B$2:$I$120,5,FALSE),"")</f>
        <v/>
      </c>
      <c r="BL133" s="146" t="str">
        <f>IF(LEN(BC133)&gt;0,VLOOKUP(BC133,'Job Codes'!$B$2:$I$120,6,FALSE),"")</f>
        <v/>
      </c>
      <c r="BM133" s="168">
        <f t="shared" si="71"/>
        <v>32384.875</v>
      </c>
      <c r="BN133" s="160">
        <f t="shared" si="72"/>
        <v>32384.875</v>
      </c>
      <c r="BO133" s="22" t="s">
        <v>157</v>
      </c>
      <c r="BP133" s="157">
        <f>VLOOKUP(I133,'Job Codes'!$B$2:$I$120,8,FALSE)</f>
        <v>0.05</v>
      </c>
      <c r="BQ133" s="25" t="str">
        <f>IF(O133&gt;Data!$H$33,"Yes","No")</f>
        <v>No</v>
      </c>
      <c r="BR133" s="191">
        <v>0.05</v>
      </c>
      <c r="BS133" s="150">
        <f t="shared" si="73"/>
        <v>1579.75</v>
      </c>
      <c r="BT133" s="25">
        <f t="shared" si="74"/>
        <v>1579.75</v>
      </c>
      <c r="BU133" s="161">
        <v>1</v>
      </c>
      <c r="BV133" s="168">
        <f t="shared" si="75"/>
        <v>1579.75</v>
      </c>
      <c r="BW133" s="160">
        <f t="shared" si="76"/>
        <v>1579.75</v>
      </c>
      <c r="BX133" s="149"/>
      <c r="BY133" s="32">
        <f t="shared" si="77"/>
        <v>0</v>
      </c>
      <c r="BZ133" s="22" t="s">
        <v>159</v>
      </c>
      <c r="CA133" s="231">
        <f>VLOOKUP(I133,'Job Codes'!$B$2:$J$120,9,FALSE)</f>
        <v>0</v>
      </c>
      <c r="CB133" s="253">
        <f t="shared" si="78"/>
        <v>0</v>
      </c>
      <c r="CC133" s="72"/>
      <c r="CD133" s="25" t="str">
        <f t="shared" si="79"/>
        <v>Meets</v>
      </c>
      <c r="CE133" s="27"/>
      <c r="CF133" s="27"/>
      <c r="CG133" s="27"/>
      <c r="CH133" s="27"/>
      <c r="CI133" s="27"/>
      <c r="CJ133" s="3">
        <v>29271</v>
      </c>
      <c r="CK133" s="3" t="s">
        <v>255</v>
      </c>
      <c r="CL133" s="3">
        <v>4569</v>
      </c>
      <c r="CM133" s="3" t="s">
        <v>161</v>
      </c>
      <c r="CN133" s="3">
        <v>4571</v>
      </c>
      <c r="CO133" s="3" t="s">
        <v>162</v>
      </c>
      <c r="CP133" s="3">
        <v>12345</v>
      </c>
      <c r="CQ133" s="3" t="s">
        <v>163</v>
      </c>
      <c r="CR133" s="246" t="s">
        <v>164</v>
      </c>
      <c r="CS133" s="5" t="s">
        <v>165</v>
      </c>
      <c r="CT133" s="246" t="s">
        <v>256</v>
      </c>
      <c r="CU133" s="247" t="s">
        <v>257</v>
      </c>
      <c r="CV133" s="3" t="str">
        <f t="shared" si="80"/>
        <v>67890;86672</v>
      </c>
      <c r="CW133" s="3" t="s">
        <v>168</v>
      </c>
      <c r="CX133" s="3" t="str">
        <f t="shared" si="81"/>
        <v>;;BB133:BD133;;CC133</v>
      </c>
      <c r="CY133" s="5" t="str">
        <f t="shared" si="82"/>
        <v>Unlock</v>
      </c>
      <c r="CZ133" s="5" t="str">
        <f t="shared" si="83"/>
        <v>Lock</v>
      </c>
      <c r="DA133" s="5" t="str">
        <f t="shared" si="84"/>
        <v>Lock</v>
      </c>
      <c r="DB133" s="5" t="str">
        <f t="shared" si="85"/>
        <v>Lock</v>
      </c>
      <c r="DC133" s="5" t="str">
        <f t="shared" si="86"/>
        <v>Lock</v>
      </c>
      <c r="DD133" s="78">
        <f t="shared" si="87"/>
        <v>2</v>
      </c>
      <c r="DE133" s="2"/>
      <c r="DF133" s="2"/>
      <c r="DG133" s="2"/>
      <c r="DH133" s="2"/>
      <c r="DI133" s="2"/>
      <c r="DJ133" s="2"/>
      <c r="DK133" s="5"/>
      <c r="DL133" s="2"/>
      <c r="DM133" s="2"/>
      <c r="DN133" s="2"/>
      <c r="DO133" s="2"/>
      <c r="DP133" s="2"/>
      <c r="DQ133" s="2"/>
      <c r="DR133" s="2"/>
      <c r="DS133" s="2"/>
      <c r="DT133" s="2"/>
      <c r="DU133" s="2"/>
      <c r="DV133" s="2"/>
      <c r="DW133" s="2"/>
      <c r="DX133" s="2"/>
      <c r="DY133" s="2"/>
      <c r="DZ133" s="2"/>
      <c r="EA133" s="2"/>
      <c r="EB133" s="2"/>
      <c r="EC133" s="2"/>
      <c r="ED133" s="2"/>
      <c r="EE133" s="2"/>
      <c r="EF133" s="1"/>
      <c r="EG133" s="98"/>
      <c r="EH133" s="98"/>
      <c r="EI133" s="1"/>
      <c r="EJ133" s="1"/>
      <c r="EK133" s="98"/>
      <c r="EL133" s="1"/>
    </row>
    <row r="134" spans="1:142">
      <c r="A134" s="32">
        <f t="shared" si="46"/>
        <v>9020</v>
      </c>
      <c r="B134" s="3" t="str">
        <f t="shared" si="47"/>
        <v>sv_statement//Statement//Export Statement&amp;PDFID=Ann Arango_9020&amp;SO=Y</v>
      </c>
      <c r="C134" s="5" t="str">
        <f t="shared" si="88"/>
        <v>Statement</v>
      </c>
      <c r="D134" s="5" t="str">
        <f t="shared" si="48"/>
        <v>Ann Arango_9020</v>
      </c>
      <c r="E134" s="5"/>
      <c r="F134" s="5">
        <v>9020</v>
      </c>
      <c r="G134" s="22" t="s">
        <v>422</v>
      </c>
      <c r="H134" s="5" t="s">
        <v>367</v>
      </c>
      <c r="I134" s="5" t="s">
        <v>423</v>
      </c>
      <c r="J134" s="5" t="s">
        <v>252</v>
      </c>
      <c r="K134" s="5" t="s">
        <v>319</v>
      </c>
      <c r="L134" s="31">
        <f t="shared" si="49"/>
        <v>29331</v>
      </c>
      <c r="M134" s="5" t="s">
        <v>320</v>
      </c>
      <c r="N134" s="22" t="s">
        <v>155</v>
      </c>
      <c r="O134" s="100">
        <v>38124</v>
      </c>
      <c r="P134" s="146">
        <f>VLOOKUP(I134,'Job Codes'!$B$2:$I$120,4,FALSE)</f>
        <v>27000</v>
      </c>
      <c r="Q134" s="146">
        <f>VLOOKUP(I134,'Job Codes'!$B$2:$I$120,5,FALSE)</f>
        <v>35100</v>
      </c>
      <c r="R134" s="146">
        <f>VLOOKUP(I134,'Job Codes'!$B$2:$I$120,6,FALSE)</f>
        <v>42120</v>
      </c>
      <c r="S134" s="22" t="s">
        <v>171</v>
      </c>
      <c r="T134" s="146">
        <v>31158</v>
      </c>
      <c r="U134" s="8">
        <f>VLOOKUP(S134,Data!$H$22:$I$25,2,FALSE)*T134</f>
        <v>31158</v>
      </c>
      <c r="V134" s="180">
        <f t="shared" si="50"/>
        <v>0.88769230769230767</v>
      </c>
      <c r="W134" s="180">
        <f t="shared" si="51"/>
        <v>0.1265164644714038</v>
      </c>
      <c r="X134" s="22" t="str">
        <f t="shared" si="52"/>
        <v>Yes</v>
      </c>
      <c r="Y134" s="180">
        <f t="shared" si="53"/>
        <v>0.02</v>
      </c>
      <c r="Z134" s="146">
        <f t="shared" si="54"/>
        <v>623.16</v>
      </c>
      <c r="AA134" s="146">
        <f t="shared" si="55"/>
        <v>623.16</v>
      </c>
      <c r="AB134" s="72"/>
      <c r="AC134" s="146">
        <f>AB134/VLOOKUP(S134,Data!$H$22:$I$25,2,FALSE)</f>
        <v>0</v>
      </c>
      <c r="AD134" s="22" t="s">
        <v>157</v>
      </c>
      <c r="AE134" s="146">
        <f>VLOOKUP(S134,Data!$H$22:$J$25,3,FALSE)*T134</f>
        <v>934.74</v>
      </c>
      <c r="AF134" s="8">
        <f>VLOOKUP(S134,Data!$H$22:$I$25,2,FALSE)*AE134</f>
        <v>934.74</v>
      </c>
      <c r="AG134" s="8" t="s">
        <v>178</v>
      </c>
      <c r="AH134" s="23">
        <v>2.5000000000000001E-2</v>
      </c>
      <c r="AI134" s="72"/>
      <c r="AJ134" s="159">
        <f t="shared" si="56"/>
        <v>2.5000000000000001E-2</v>
      </c>
      <c r="AK134" s="168">
        <f t="shared" si="89"/>
        <v>778.95</v>
      </c>
      <c r="AL134" s="160">
        <f t="shared" si="90"/>
        <v>778.95</v>
      </c>
      <c r="AM134" s="168">
        <f t="shared" si="57"/>
        <v>31936.95</v>
      </c>
      <c r="AN134" s="160">
        <f t="shared" si="58"/>
        <v>31936.95</v>
      </c>
      <c r="AO134" s="160" t="str">
        <f t="shared" si="91"/>
        <v>No</v>
      </c>
      <c r="AP134" s="146">
        <f>IF(AQ134=0,0,AQ134/VLOOKUP(S134,Data!$H$22:$I$25,2,FALSE))</f>
        <v>0</v>
      </c>
      <c r="AQ134" s="183">
        <f t="shared" si="59"/>
        <v>0</v>
      </c>
      <c r="AR134" s="165">
        <f t="shared" si="60"/>
        <v>778.95</v>
      </c>
      <c r="AS134" s="183">
        <f t="shared" si="61"/>
        <v>778.95</v>
      </c>
      <c r="AT134" s="250">
        <f t="shared" si="62"/>
        <v>2.5000000000000001E-2</v>
      </c>
      <c r="AU134" s="146">
        <f t="shared" si="63"/>
        <v>31936.95</v>
      </c>
      <c r="AV134" s="8">
        <f t="shared" si="64"/>
        <v>31936.95</v>
      </c>
      <c r="AW134" s="8" t="str">
        <f t="shared" si="65"/>
        <v/>
      </c>
      <c r="AX134" s="180">
        <f t="shared" si="66"/>
        <v>0.9098846153846154</v>
      </c>
      <c r="AY134" s="146">
        <f t="shared" si="67"/>
        <v>0</v>
      </c>
      <c r="AZ134" s="146">
        <f t="shared" si="68"/>
        <v>0</v>
      </c>
      <c r="BA134" s="22" t="s">
        <v>159</v>
      </c>
      <c r="BB134" s="149"/>
      <c r="BC134" s="149"/>
      <c r="BD134" s="144"/>
      <c r="BE134" s="146" t="str">
        <f t="shared" si="69"/>
        <v/>
      </c>
      <c r="BF134" s="8" t="str">
        <f t="shared" si="70"/>
        <v/>
      </c>
      <c r="BG134" s="8" t="str">
        <f>IF(LEN(BC134)&gt;0,VLOOKUP(BC134,'Job Codes'!B127:I245,7,FALSE),"")</f>
        <v/>
      </c>
      <c r="BH134" s="192" t="str">
        <f>IF(LEN(BC134)&gt;0,VLOOKUP(BC134,'Job Codes'!B127:I245,8,FALSE),"")</f>
        <v/>
      </c>
      <c r="BI134" s="192" t="str">
        <f>IF(LEN(BC134)&gt;0,VLOOKUP(BC134,'Job Codes'!$B$2:$J$120,9,FALSE),"")</f>
        <v/>
      </c>
      <c r="BJ134" s="146" t="str">
        <f>IF(LEN(BC134)&gt;0,VLOOKUP(BC134,'Job Codes'!$B$2:$I$120,4,FALSE),"")</f>
        <v/>
      </c>
      <c r="BK134" s="146" t="str">
        <f>IF(LEN(BC134)&gt;0,VLOOKUP(BC134,'Job Codes'!$B$2:$I$120,5,FALSE),"")</f>
        <v/>
      </c>
      <c r="BL134" s="146" t="str">
        <f>IF(LEN(BC134)&gt;0,VLOOKUP(BC134,'Job Codes'!$B$2:$I$120,6,FALSE),"")</f>
        <v/>
      </c>
      <c r="BM134" s="168">
        <f t="shared" si="71"/>
        <v>31936.95</v>
      </c>
      <c r="BN134" s="160">
        <f t="shared" si="72"/>
        <v>31936.95</v>
      </c>
      <c r="BO134" s="22" t="s">
        <v>157</v>
      </c>
      <c r="BP134" s="157">
        <f>VLOOKUP(I134,'Job Codes'!$B$2:$I$120,8,FALSE)</f>
        <v>0.05</v>
      </c>
      <c r="BQ134" s="25" t="str">
        <f>IF(O134&gt;Data!$H$33,"Yes","No")</f>
        <v>No</v>
      </c>
      <c r="BR134" s="191">
        <v>0.05</v>
      </c>
      <c r="BS134" s="150">
        <f t="shared" si="73"/>
        <v>1557.9</v>
      </c>
      <c r="BT134" s="25">
        <f t="shared" si="74"/>
        <v>1557.9</v>
      </c>
      <c r="BU134" s="161">
        <v>1</v>
      </c>
      <c r="BV134" s="168">
        <f t="shared" si="75"/>
        <v>1557.9</v>
      </c>
      <c r="BW134" s="160">
        <f t="shared" si="76"/>
        <v>1557.9</v>
      </c>
      <c r="BX134" s="149"/>
      <c r="BY134" s="32">
        <f t="shared" si="77"/>
        <v>0</v>
      </c>
      <c r="BZ134" s="22" t="s">
        <v>159</v>
      </c>
      <c r="CA134" s="231">
        <f>VLOOKUP(I134,'Job Codes'!$B$2:$J$120,9,FALSE)</f>
        <v>0</v>
      </c>
      <c r="CB134" s="253">
        <f t="shared" si="78"/>
        <v>0</v>
      </c>
      <c r="CC134" s="72"/>
      <c r="CD134" s="25" t="str">
        <f t="shared" si="79"/>
        <v>Meets</v>
      </c>
      <c r="CE134" s="27"/>
      <c r="CF134" s="27"/>
      <c r="CG134" s="27"/>
      <c r="CH134" s="27"/>
      <c r="CI134" s="27"/>
      <c r="CJ134" s="3">
        <v>29271</v>
      </c>
      <c r="CK134" s="3" t="s">
        <v>255</v>
      </c>
      <c r="CL134" s="3">
        <v>4569</v>
      </c>
      <c r="CM134" s="3" t="s">
        <v>161</v>
      </c>
      <c r="CN134" s="3">
        <v>4571</v>
      </c>
      <c r="CO134" s="3" t="s">
        <v>162</v>
      </c>
      <c r="CP134" s="3">
        <v>12345</v>
      </c>
      <c r="CQ134" s="3" t="s">
        <v>163</v>
      </c>
      <c r="CR134" s="246" t="s">
        <v>164</v>
      </c>
      <c r="CS134" s="5" t="s">
        <v>165</v>
      </c>
      <c r="CT134" s="246" t="s">
        <v>256</v>
      </c>
      <c r="CU134" s="247" t="s">
        <v>257</v>
      </c>
      <c r="CV134" s="3" t="str">
        <f t="shared" si="80"/>
        <v>67890;86672</v>
      </c>
      <c r="CW134" s="3" t="s">
        <v>168</v>
      </c>
      <c r="CX134" s="3" t="str">
        <f t="shared" si="81"/>
        <v>;;BB134:BD134;;CC134</v>
      </c>
      <c r="CY134" s="5" t="str">
        <f t="shared" si="82"/>
        <v>Unlock</v>
      </c>
      <c r="CZ134" s="5" t="str">
        <f t="shared" si="83"/>
        <v>Lock</v>
      </c>
      <c r="DA134" s="5" t="str">
        <f t="shared" si="84"/>
        <v>Lock</v>
      </c>
      <c r="DB134" s="5" t="str">
        <f t="shared" si="85"/>
        <v>Lock</v>
      </c>
      <c r="DC134" s="5" t="str">
        <f t="shared" si="86"/>
        <v>Lock</v>
      </c>
      <c r="DD134" s="78">
        <f t="shared" si="87"/>
        <v>2</v>
      </c>
      <c r="DE134" s="2"/>
      <c r="DF134" s="2"/>
      <c r="DG134" s="2"/>
      <c r="DH134" s="2"/>
      <c r="DI134" s="2"/>
      <c r="DJ134" s="2"/>
      <c r="DK134" s="5"/>
      <c r="DL134" s="2"/>
      <c r="DM134" s="2"/>
      <c r="DN134" s="2"/>
      <c r="DO134" s="2"/>
      <c r="DP134" s="2"/>
      <c r="DQ134" s="2"/>
      <c r="DR134" s="2"/>
      <c r="DS134" s="2"/>
      <c r="DT134" s="2"/>
      <c r="DU134" s="2"/>
      <c r="DV134" s="2"/>
      <c r="DW134" s="2"/>
      <c r="DX134" s="2"/>
      <c r="DY134" s="2"/>
      <c r="DZ134" s="2"/>
      <c r="EA134" s="2"/>
      <c r="EB134" s="2"/>
      <c r="EC134" s="2"/>
      <c r="ED134" s="2"/>
      <c r="EE134" s="2"/>
      <c r="EF134" s="1"/>
      <c r="EG134" s="98"/>
      <c r="EH134" s="98"/>
      <c r="EI134" s="1"/>
      <c r="EJ134" s="1"/>
      <c r="EK134" s="98"/>
      <c r="EL134" s="1"/>
    </row>
    <row r="135" spans="1:142">
      <c r="A135" s="32">
        <f t="shared" si="46"/>
        <v>9221</v>
      </c>
      <c r="B135" s="3" t="str">
        <f t="shared" si="47"/>
        <v>sv_statement//Statement//Export Statement&amp;PDFID=Carolyn Bump_9221&amp;SO=Y</v>
      </c>
      <c r="C135" s="5" t="str">
        <f t="shared" si="88"/>
        <v>Statement</v>
      </c>
      <c r="D135" s="5" t="str">
        <f t="shared" si="48"/>
        <v>Carolyn Bump_9221</v>
      </c>
      <c r="E135" s="5"/>
      <c r="F135" s="5">
        <v>9221</v>
      </c>
      <c r="G135" s="22" t="s">
        <v>424</v>
      </c>
      <c r="H135" s="5" t="s">
        <v>367</v>
      </c>
      <c r="I135" s="5" t="s">
        <v>425</v>
      </c>
      <c r="J135" s="5" t="s">
        <v>252</v>
      </c>
      <c r="K135" s="5" t="s">
        <v>319</v>
      </c>
      <c r="L135" s="31">
        <f t="shared" si="49"/>
        <v>29331</v>
      </c>
      <c r="M135" s="5" t="s">
        <v>320</v>
      </c>
      <c r="N135" s="22" t="s">
        <v>155</v>
      </c>
      <c r="O135" s="100">
        <v>38159</v>
      </c>
      <c r="P135" s="146">
        <f>VLOOKUP(I135,'Job Codes'!$B$2:$I$120,4,FALSE)</f>
        <v>26500</v>
      </c>
      <c r="Q135" s="146">
        <f>VLOOKUP(I135,'Job Codes'!$B$2:$I$120,5,FALSE)</f>
        <v>34450</v>
      </c>
      <c r="R135" s="146">
        <f>VLOOKUP(I135,'Job Codes'!$B$2:$I$120,6,FALSE)</f>
        <v>41340</v>
      </c>
      <c r="S135" s="22" t="s">
        <v>171</v>
      </c>
      <c r="T135" s="146">
        <v>30930</v>
      </c>
      <c r="U135" s="8">
        <f>VLOOKUP(S135,Data!$H$22:$I$25,2,FALSE)*T135</f>
        <v>30930</v>
      </c>
      <c r="V135" s="180">
        <f t="shared" si="50"/>
        <v>0.8978229317851959</v>
      </c>
      <c r="W135" s="180">
        <f t="shared" si="51"/>
        <v>0.1138053669576463</v>
      </c>
      <c r="X135" s="22" t="str">
        <f t="shared" si="52"/>
        <v>Yes</v>
      </c>
      <c r="Y135" s="180">
        <f t="shared" si="53"/>
        <v>0.02</v>
      </c>
      <c r="Z135" s="146">
        <f t="shared" si="54"/>
        <v>618.6</v>
      </c>
      <c r="AA135" s="146">
        <f t="shared" si="55"/>
        <v>618.6</v>
      </c>
      <c r="AB135" s="72"/>
      <c r="AC135" s="146">
        <f>AB135/VLOOKUP(S135,Data!$H$22:$I$25,2,FALSE)</f>
        <v>0</v>
      </c>
      <c r="AD135" s="22" t="s">
        <v>157</v>
      </c>
      <c r="AE135" s="146">
        <f>VLOOKUP(S135,Data!$H$22:$J$25,3,FALSE)*T135</f>
        <v>927.9</v>
      </c>
      <c r="AF135" s="8">
        <f>VLOOKUP(S135,Data!$H$22:$I$25,2,FALSE)*AE135</f>
        <v>927.9</v>
      </c>
      <c r="AG135" s="8" t="s">
        <v>158</v>
      </c>
      <c r="AH135" s="23">
        <v>3.5000000000000003E-2</v>
      </c>
      <c r="AI135" s="72"/>
      <c r="AJ135" s="159">
        <f t="shared" si="56"/>
        <v>3.5000000000000003E-2</v>
      </c>
      <c r="AK135" s="168">
        <f t="shared" si="89"/>
        <v>1082.5500000000002</v>
      </c>
      <c r="AL135" s="160">
        <f t="shared" si="90"/>
        <v>1082.5500000000002</v>
      </c>
      <c r="AM135" s="168">
        <f t="shared" si="57"/>
        <v>32012.55</v>
      </c>
      <c r="AN135" s="160">
        <f t="shared" si="58"/>
        <v>32012.55</v>
      </c>
      <c r="AO135" s="160" t="str">
        <f t="shared" si="91"/>
        <v>No</v>
      </c>
      <c r="AP135" s="146">
        <f>IF(AQ135=0,0,AQ135/VLOOKUP(S135,Data!$H$22:$I$25,2,FALSE))</f>
        <v>0</v>
      </c>
      <c r="AQ135" s="183">
        <f t="shared" si="59"/>
        <v>0</v>
      </c>
      <c r="AR135" s="165">
        <f t="shared" si="60"/>
        <v>1082.5500000000002</v>
      </c>
      <c r="AS135" s="183">
        <f t="shared" si="61"/>
        <v>1082.5500000000002</v>
      </c>
      <c r="AT135" s="250">
        <f t="shared" si="62"/>
        <v>3.5000000000000003E-2</v>
      </c>
      <c r="AU135" s="146">
        <f t="shared" si="63"/>
        <v>32012.55</v>
      </c>
      <c r="AV135" s="8">
        <f t="shared" si="64"/>
        <v>32012.55</v>
      </c>
      <c r="AW135" s="8" t="str">
        <f t="shared" si="65"/>
        <v/>
      </c>
      <c r="AX135" s="180">
        <f t="shared" si="66"/>
        <v>0.9292467343976778</v>
      </c>
      <c r="AY135" s="146">
        <f t="shared" si="67"/>
        <v>0</v>
      </c>
      <c r="AZ135" s="146">
        <f t="shared" si="68"/>
        <v>0</v>
      </c>
      <c r="BA135" s="22" t="s">
        <v>159</v>
      </c>
      <c r="BB135" s="149"/>
      <c r="BC135" s="149"/>
      <c r="BD135" s="144"/>
      <c r="BE135" s="146" t="str">
        <f t="shared" si="69"/>
        <v/>
      </c>
      <c r="BF135" s="8" t="str">
        <f t="shared" si="70"/>
        <v/>
      </c>
      <c r="BG135" s="8" t="str">
        <f>IF(LEN(BC135)&gt;0,VLOOKUP(BC135,'Job Codes'!B128:I246,7,FALSE),"")</f>
        <v/>
      </c>
      <c r="BH135" s="192" t="str">
        <f>IF(LEN(BC135)&gt;0,VLOOKUP(BC135,'Job Codes'!B128:I246,8,FALSE),"")</f>
        <v/>
      </c>
      <c r="BI135" s="192" t="str">
        <f>IF(LEN(BC135)&gt;0,VLOOKUP(BC135,'Job Codes'!$B$2:$J$120,9,FALSE),"")</f>
        <v/>
      </c>
      <c r="BJ135" s="146" t="str">
        <f>IF(LEN(BC135)&gt;0,VLOOKUP(BC135,'Job Codes'!$B$2:$I$120,4,FALSE),"")</f>
        <v/>
      </c>
      <c r="BK135" s="146" t="str">
        <f>IF(LEN(BC135)&gt;0,VLOOKUP(BC135,'Job Codes'!$B$2:$I$120,5,FALSE),"")</f>
        <v/>
      </c>
      <c r="BL135" s="146" t="str">
        <f>IF(LEN(BC135)&gt;0,VLOOKUP(BC135,'Job Codes'!$B$2:$I$120,6,FALSE),"")</f>
        <v/>
      </c>
      <c r="BM135" s="168">
        <f t="shared" si="71"/>
        <v>32012.55</v>
      </c>
      <c r="BN135" s="160">
        <f t="shared" si="72"/>
        <v>32012.55</v>
      </c>
      <c r="BO135" s="22" t="s">
        <v>157</v>
      </c>
      <c r="BP135" s="157">
        <f>VLOOKUP(I135,'Job Codes'!$B$2:$I$120,8,FALSE)</f>
        <v>0.05</v>
      </c>
      <c r="BQ135" s="25" t="str">
        <f>IF(O135&gt;Data!$H$33,"Yes","No")</f>
        <v>No</v>
      </c>
      <c r="BR135" s="191">
        <v>0.05</v>
      </c>
      <c r="BS135" s="150">
        <f t="shared" si="73"/>
        <v>1546.5</v>
      </c>
      <c r="BT135" s="25">
        <f t="shared" si="74"/>
        <v>1546.5</v>
      </c>
      <c r="BU135" s="161">
        <v>1</v>
      </c>
      <c r="BV135" s="168">
        <f t="shared" si="75"/>
        <v>1546.5</v>
      </c>
      <c r="BW135" s="160">
        <f t="shared" si="76"/>
        <v>1546.5</v>
      </c>
      <c r="BX135" s="149"/>
      <c r="BY135" s="32">
        <f t="shared" si="77"/>
        <v>0</v>
      </c>
      <c r="BZ135" s="22" t="s">
        <v>159</v>
      </c>
      <c r="CA135" s="231">
        <f>VLOOKUP(I135,'Job Codes'!$B$2:$J$120,9,FALSE)</f>
        <v>0</v>
      </c>
      <c r="CB135" s="253">
        <f t="shared" si="78"/>
        <v>0</v>
      </c>
      <c r="CC135" s="72"/>
      <c r="CD135" s="25" t="str">
        <f t="shared" si="79"/>
        <v>Exceeds</v>
      </c>
      <c r="CE135" s="27"/>
      <c r="CF135" s="27"/>
      <c r="CG135" s="27"/>
      <c r="CH135" s="27"/>
      <c r="CI135" s="27"/>
      <c r="CJ135" s="3">
        <v>29271</v>
      </c>
      <c r="CK135" s="3" t="s">
        <v>255</v>
      </c>
      <c r="CL135" s="3">
        <v>4569</v>
      </c>
      <c r="CM135" s="3" t="s">
        <v>161</v>
      </c>
      <c r="CN135" s="3">
        <v>4571</v>
      </c>
      <c r="CO135" s="3" t="s">
        <v>162</v>
      </c>
      <c r="CP135" s="3">
        <v>12345</v>
      </c>
      <c r="CQ135" s="3" t="s">
        <v>163</v>
      </c>
      <c r="CR135" s="246" t="s">
        <v>164</v>
      </c>
      <c r="CS135" s="5" t="s">
        <v>165</v>
      </c>
      <c r="CT135" s="246" t="s">
        <v>256</v>
      </c>
      <c r="CU135" s="247" t="s">
        <v>257</v>
      </c>
      <c r="CV135" s="3" t="str">
        <f t="shared" si="80"/>
        <v>67890;86672</v>
      </c>
      <c r="CW135" s="3" t="s">
        <v>168</v>
      </c>
      <c r="CX135" s="3" t="str">
        <f t="shared" si="81"/>
        <v>;;BB135:BD135;;CC135</v>
      </c>
      <c r="CY135" s="5" t="str">
        <f t="shared" si="82"/>
        <v>Unlock</v>
      </c>
      <c r="CZ135" s="5" t="str">
        <f t="shared" si="83"/>
        <v>Lock</v>
      </c>
      <c r="DA135" s="5" t="str">
        <f t="shared" si="84"/>
        <v>Lock</v>
      </c>
      <c r="DB135" s="5" t="str">
        <f t="shared" si="85"/>
        <v>Lock</v>
      </c>
      <c r="DC135" s="5" t="str">
        <f t="shared" si="86"/>
        <v>Lock</v>
      </c>
      <c r="DD135" s="78">
        <f t="shared" si="87"/>
        <v>2</v>
      </c>
      <c r="DE135" s="2"/>
      <c r="DF135" s="2"/>
      <c r="DG135" s="2"/>
      <c r="DH135" s="2"/>
      <c r="DI135" s="2"/>
      <c r="DJ135" s="2"/>
      <c r="DK135" s="5"/>
      <c r="DL135" s="2"/>
      <c r="DM135" s="2"/>
      <c r="DN135" s="2"/>
      <c r="DO135" s="2"/>
      <c r="DP135" s="2"/>
      <c r="DQ135" s="2"/>
      <c r="DR135" s="2"/>
      <c r="DS135" s="2"/>
      <c r="DT135" s="2"/>
      <c r="DU135" s="2"/>
      <c r="DV135" s="2"/>
      <c r="DW135" s="2"/>
      <c r="DX135" s="2"/>
      <c r="DY135" s="2"/>
      <c r="DZ135" s="2"/>
      <c r="EA135" s="2"/>
      <c r="EB135" s="2"/>
      <c r="EC135" s="2"/>
      <c r="ED135" s="2"/>
      <c r="EE135" s="2"/>
      <c r="EF135" s="1"/>
      <c r="EG135" s="98"/>
      <c r="EH135" s="98"/>
      <c r="EI135" s="1"/>
      <c r="EJ135" s="1"/>
      <c r="EK135" s="98"/>
      <c r="EL135" s="1"/>
    </row>
    <row r="136" spans="1:142">
      <c r="A136" s="32">
        <f t="shared" si="46"/>
        <v>9230</v>
      </c>
      <c r="B136" s="3" t="str">
        <f t="shared" si="47"/>
        <v>sv_statement//Statement//Export Statement&amp;PDFID=Blanche Danner_9230&amp;SO=Y</v>
      </c>
      <c r="C136" s="5" t="str">
        <f t="shared" si="88"/>
        <v>Statement</v>
      </c>
      <c r="D136" s="5" t="str">
        <f t="shared" si="48"/>
        <v>Blanche Danner_9230</v>
      </c>
      <c r="E136" s="5"/>
      <c r="F136" s="5">
        <v>9230</v>
      </c>
      <c r="G136" s="22" t="s">
        <v>426</v>
      </c>
      <c r="H136" s="5" t="s">
        <v>296</v>
      </c>
      <c r="I136" s="5" t="s">
        <v>338</v>
      </c>
      <c r="J136" s="5" t="s">
        <v>152</v>
      </c>
      <c r="K136" s="5" t="s">
        <v>153</v>
      </c>
      <c r="L136" s="31">
        <f t="shared" si="49"/>
        <v>11351</v>
      </c>
      <c r="M136" s="5" t="s">
        <v>177</v>
      </c>
      <c r="N136" s="22" t="s">
        <v>155</v>
      </c>
      <c r="O136" s="100">
        <v>36192</v>
      </c>
      <c r="P136" s="146">
        <f>VLOOKUP(I136,'Job Codes'!$B$2:$I$120,4,FALSE)</f>
        <v>33000</v>
      </c>
      <c r="Q136" s="146">
        <f>VLOOKUP(I136,'Job Codes'!$B$2:$I$120,5,FALSE)</f>
        <v>42900</v>
      </c>
      <c r="R136" s="146">
        <f>VLOOKUP(I136,'Job Codes'!$B$2:$I$120,6,FALSE)</f>
        <v>51480</v>
      </c>
      <c r="S136" s="22" t="s">
        <v>171</v>
      </c>
      <c r="T136" s="146">
        <v>45490</v>
      </c>
      <c r="U136" s="8">
        <f>VLOOKUP(S136,Data!$H$22:$I$25,2,FALSE)*T136</f>
        <v>45490</v>
      </c>
      <c r="V136" s="180">
        <f t="shared" si="50"/>
        <v>1.0603729603729604</v>
      </c>
      <c r="W136" s="180">
        <f t="shared" si="51"/>
        <v>0</v>
      </c>
      <c r="X136" s="22" t="str">
        <f t="shared" si="52"/>
        <v>No</v>
      </c>
      <c r="Y136" s="180">
        <f t="shared" si="53"/>
        <v>0</v>
      </c>
      <c r="Z136" s="146">
        <f t="shared" si="54"/>
        <v>0</v>
      </c>
      <c r="AA136" s="146">
        <f t="shared" si="55"/>
        <v>0</v>
      </c>
      <c r="AB136" s="72"/>
      <c r="AC136" s="146">
        <f>AB136/VLOOKUP(S136,Data!$H$22:$I$25,2,FALSE)</f>
        <v>0</v>
      </c>
      <c r="AD136" s="22" t="s">
        <v>157</v>
      </c>
      <c r="AE136" s="146">
        <f>VLOOKUP(S136,Data!$H$22:$J$25,3,FALSE)*T136</f>
        <v>1364.7</v>
      </c>
      <c r="AF136" s="8">
        <f>VLOOKUP(S136,Data!$H$22:$I$25,2,FALSE)*AE136</f>
        <v>1364.7</v>
      </c>
      <c r="AG136" s="8" t="s">
        <v>178</v>
      </c>
      <c r="AH136" s="23">
        <v>2.5000000000000001E-2</v>
      </c>
      <c r="AI136" s="72"/>
      <c r="AJ136" s="159">
        <f t="shared" si="56"/>
        <v>2.5000000000000001E-2</v>
      </c>
      <c r="AK136" s="168">
        <f t="shared" si="89"/>
        <v>1137.25</v>
      </c>
      <c r="AL136" s="160">
        <f t="shared" si="90"/>
        <v>1137.25</v>
      </c>
      <c r="AM136" s="168">
        <f t="shared" si="57"/>
        <v>46627.25</v>
      </c>
      <c r="AN136" s="160">
        <f t="shared" si="58"/>
        <v>46627.25</v>
      </c>
      <c r="AO136" s="160" t="str">
        <f t="shared" si="91"/>
        <v>No</v>
      </c>
      <c r="AP136" s="146">
        <f>IF(AQ136=0,0,AQ136/VLOOKUP(S136,Data!$H$22:$I$25,2,FALSE))</f>
        <v>0</v>
      </c>
      <c r="AQ136" s="183">
        <f t="shared" si="59"/>
        <v>0</v>
      </c>
      <c r="AR136" s="165">
        <f t="shared" si="60"/>
        <v>1137.25</v>
      </c>
      <c r="AS136" s="183">
        <f t="shared" si="61"/>
        <v>1137.25</v>
      </c>
      <c r="AT136" s="250">
        <f t="shared" si="62"/>
        <v>2.5000000000000001E-2</v>
      </c>
      <c r="AU136" s="146">
        <f t="shared" si="63"/>
        <v>46627.25</v>
      </c>
      <c r="AV136" s="8">
        <f t="shared" si="64"/>
        <v>46627.25</v>
      </c>
      <c r="AW136" s="8" t="str">
        <f t="shared" si="65"/>
        <v/>
      </c>
      <c r="AX136" s="180">
        <f t="shared" si="66"/>
        <v>1.0868822843822843</v>
      </c>
      <c r="AY136" s="146">
        <f t="shared" si="67"/>
        <v>0</v>
      </c>
      <c r="AZ136" s="146">
        <f t="shared" si="68"/>
        <v>0</v>
      </c>
      <c r="BA136" s="22" t="s">
        <v>159</v>
      </c>
      <c r="BB136" s="149"/>
      <c r="BC136" s="149"/>
      <c r="BD136" s="144"/>
      <c r="BE136" s="146" t="str">
        <f t="shared" si="69"/>
        <v/>
      </c>
      <c r="BF136" s="8" t="str">
        <f t="shared" si="70"/>
        <v/>
      </c>
      <c r="BG136" s="8" t="str">
        <f>IF(LEN(BC136)&gt;0,VLOOKUP(BC136,'Job Codes'!B129:I247,7,FALSE),"")</f>
        <v/>
      </c>
      <c r="BH136" s="192" t="str">
        <f>IF(LEN(BC136)&gt;0,VLOOKUP(BC136,'Job Codes'!B129:I247,8,FALSE),"")</f>
        <v/>
      </c>
      <c r="BI136" s="192" t="str">
        <f>IF(LEN(BC136)&gt;0,VLOOKUP(BC136,'Job Codes'!$B$2:$J$120,9,FALSE),"")</f>
        <v/>
      </c>
      <c r="BJ136" s="146" t="str">
        <f>IF(LEN(BC136)&gt;0,VLOOKUP(BC136,'Job Codes'!$B$2:$I$120,4,FALSE),"")</f>
        <v/>
      </c>
      <c r="BK136" s="146" t="str">
        <f>IF(LEN(BC136)&gt;0,VLOOKUP(BC136,'Job Codes'!$B$2:$I$120,5,FALSE),"")</f>
        <v/>
      </c>
      <c r="BL136" s="146" t="str">
        <f>IF(LEN(BC136)&gt;0,VLOOKUP(BC136,'Job Codes'!$B$2:$I$120,6,FALSE),"")</f>
        <v/>
      </c>
      <c r="BM136" s="168">
        <f t="shared" si="71"/>
        <v>46627.25</v>
      </c>
      <c r="BN136" s="160">
        <f t="shared" si="72"/>
        <v>46627.25</v>
      </c>
      <c r="BO136" s="22" t="s">
        <v>157</v>
      </c>
      <c r="BP136" s="157">
        <f>VLOOKUP(I136,'Job Codes'!$B$2:$I$120,8,FALSE)</f>
        <v>0.1</v>
      </c>
      <c r="BQ136" s="25" t="str">
        <f>IF(O136&gt;Data!$H$33,"Yes","No")</f>
        <v>No</v>
      </c>
      <c r="BR136" s="191">
        <v>0.1</v>
      </c>
      <c r="BS136" s="150">
        <f t="shared" si="73"/>
        <v>4549</v>
      </c>
      <c r="BT136" s="25">
        <f t="shared" si="74"/>
        <v>4549</v>
      </c>
      <c r="BU136" s="161">
        <v>1</v>
      </c>
      <c r="BV136" s="168">
        <f t="shared" si="75"/>
        <v>4549</v>
      </c>
      <c r="BW136" s="160">
        <f t="shared" si="76"/>
        <v>4549</v>
      </c>
      <c r="BX136" s="149"/>
      <c r="BY136" s="32">
        <f t="shared" si="77"/>
        <v>0</v>
      </c>
      <c r="BZ136" s="22" t="s">
        <v>157</v>
      </c>
      <c r="CA136" s="231">
        <f>VLOOKUP(I136,'Job Codes'!$B$2:$J$120,9,FALSE)</f>
        <v>0.1</v>
      </c>
      <c r="CB136" s="253">
        <f t="shared" si="78"/>
        <v>4549</v>
      </c>
      <c r="CC136" s="72"/>
      <c r="CD136" s="25" t="str">
        <f t="shared" si="79"/>
        <v>Meets</v>
      </c>
      <c r="CE136" s="27"/>
      <c r="CF136" s="27"/>
      <c r="CG136" s="27"/>
      <c r="CH136" s="27"/>
      <c r="CI136" s="27"/>
      <c r="CJ136" s="3">
        <v>11308</v>
      </c>
      <c r="CK136" s="3" t="s">
        <v>154</v>
      </c>
      <c r="CL136" s="3">
        <v>4569</v>
      </c>
      <c r="CM136" s="3" t="s">
        <v>161</v>
      </c>
      <c r="CN136" s="3">
        <v>4571</v>
      </c>
      <c r="CO136" s="3" t="s">
        <v>162</v>
      </c>
      <c r="CP136" s="3">
        <v>12345</v>
      </c>
      <c r="CQ136" s="3" t="s">
        <v>163</v>
      </c>
      <c r="CR136" s="246" t="s">
        <v>179</v>
      </c>
      <c r="CS136" s="247" t="s">
        <v>180</v>
      </c>
      <c r="CT136" s="246" t="s">
        <v>166</v>
      </c>
      <c r="CU136" s="247" t="s">
        <v>167</v>
      </c>
      <c r="CV136" s="3" t="str">
        <f t="shared" si="80"/>
        <v>90876;99485</v>
      </c>
      <c r="CW136" s="3" t="s">
        <v>168</v>
      </c>
      <c r="CX136" s="3" t="str">
        <f t="shared" si="81"/>
        <v>AB136;;BB136:BD136;;</v>
      </c>
      <c r="CY136" s="5" t="str">
        <f t="shared" si="82"/>
        <v>Unlock</v>
      </c>
      <c r="CZ136" s="5" t="str">
        <f t="shared" si="83"/>
        <v>Lock</v>
      </c>
      <c r="DA136" s="5" t="str">
        <f t="shared" si="84"/>
        <v>Lock</v>
      </c>
      <c r="DB136" s="5" t="str">
        <f t="shared" si="85"/>
        <v>Lock</v>
      </c>
      <c r="DC136" s="5" t="str">
        <f t="shared" si="86"/>
        <v>Lock</v>
      </c>
      <c r="DD136" s="78">
        <f t="shared" si="87"/>
        <v>2</v>
      </c>
      <c r="DE136" s="2"/>
      <c r="DF136" s="2"/>
      <c r="DG136" s="2"/>
      <c r="DH136" s="2"/>
      <c r="DI136" s="2"/>
      <c r="DJ136" s="2"/>
      <c r="DK136" s="5"/>
      <c r="DL136" s="2"/>
      <c r="DM136" s="2"/>
      <c r="DN136" s="2"/>
      <c r="DO136" s="2"/>
      <c r="DP136" s="2"/>
      <c r="DQ136" s="2"/>
      <c r="DR136" s="2"/>
      <c r="DS136" s="2"/>
      <c r="DT136" s="2"/>
      <c r="DU136" s="2"/>
      <c r="DV136" s="2"/>
      <c r="DW136" s="2"/>
      <c r="DX136" s="2"/>
      <c r="DY136" s="2"/>
      <c r="DZ136" s="2"/>
      <c r="EA136" s="2"/>
      <c r="EB136" s="2"/>
      <c r="EC136" s="2"/>
      <c r="ED136" s="2"/>
      <c r="EE136" s="2"/>
      <c r="EF136" s="1"/>
      <c r="EG136" s="98"/>
      <c r="EH136" s="98"/>
      <c r="EI136" s="1"/>
      <c r="EJ136" s="1"/>
      <c r="EK136" s="98"/>
      <c r="EL136" s="1"/>
    </row>
    <row r="137" spans="1:142">
      <c r="A137" s="32">
        <f t="shared" ref="A137:A200" si="92">F137</f>
        <v>9239</v>
      </c>
      <c r="B137" s="3" t="str">
        <f t="shared" ref="B137:B200" si="93">IF(C137&lt;&gt;"","sv_statement//"&amp;C137&amp;"//Export Statement&amp;PDFID="&amp;D137&amp;"&amp;SO=Y","")</f>
        <v>sv_statement//Statement//Export Statement&amp;PDFID=Elsie Keeling_9239&amp;SO=Y</v>
      </c>
      <c r="C137" s="5" t="str">
        <f t="shared" si="88"/>
        <v>Statement</v>
      </c>
      <c r="D137" s="5" t="str">
        <f t="shared" ref="D137:D200" si="94">G137&amp;"_"&amp;F137</f>
        <v>Elsie Keeling_9239</v>
      </c>
      <c r="E137" s="5"/>
      <c r="F137" s="5">
        <v>9239</v>
      </c>
      <c r="G137" s="22" t="s">
        <v>427</v>
      </c>
      <c r="H137" s="5" t="s">
        <v>214</v>
      </c>
      <c r="I137" s="5" t="s">
        <v>428</v>
      </c>
      <c r="J137" s="5" t="s">
        <v>208</v>
      </c>
      <c r="K137" s="5" t="s">
        <v>211</v>
      </c>
      <c r="L137" s="31">
        <f t="shared" ref="L137:L200" si="95">IFERROR(INDEX($F$9:$F$496,MATCH(M137,$G$9:$G$496,0)),"")</f>
        <v>11498</v>
      </c>
      <c r="M137" s="5" t="s">
        <v>197</v>
      </c>
      <c r="N137" s="22" t="s">
        <v>155</v>
      </c>
      <c r="O137" s="100">
        <v>37012</v>
      </c>
      <c r="P137" s="146">
        <f>VLOOKUP(I137,'Job Codes'!$B$2:$I$120,4,FALSE)</f>
        <v>20000</v>
      </c>
      <c r="Q137" s="146">
        <f>VLOOKUP(I137,'Job Codes'!$B$2:$I$120,5,FALSE)</f>
        <v>26000</v>
      </c>
      <c r="R137" s="146">
        <f>VLOOKUP(I137,'Job Codes'!$B$2:$I$120,6,FALSE)</f>
        <v>31200</v>
      </c>
      <c r="S137" s="22" t="s">
        <v>171</v>
      </c>
      <c r="T137" s="146">
        <v>22000</v>
      </c>
      <c r="U137" s="8">
        <f>VLOOKUP(S137,Data!$H$22:$I$25,2,FALSE)*T137</f>
        <v>22000</v>
      </c>
      <c r="V137" s="180">
        <f t="shared" ref="V137:V200" si="96">IFERROR(U137/Q137,0)</f>
        <v>0.84615384615384615</v>
      </c>
      <c r="W137" s="180">
        <f t="shared" ref="W137:W200" si="97">IF((Q137-U137)/U137&lt;0,0%,(Q137-U137)/U137)</f>
        <v>0.18181818181818182</v>
      </c>
      <c r="X137" s="22" t="str">
        <f t="shared" ref="X137:X200" si="98">IF(W137&gt;5%,"Yes","No")</f>
        <v>Yes</v>
      </c>
      <c r="Y137" s="180">
        <f t="shared" ref="Y137:Y200" si="99">IF(X137="Yes",2%,0)</f>
        <v>0.02</v>
      </c>
      <c r="Z137" s="146">
        <f t="shared" ref="Z137:Z200" si="100">IF(Y137=0,0,Y137*T137)</f>
        <v>440</v>
      </c>
      <c r="AA137" s="146">
        <f t="shared" ref="AA137:AA200" si="101">IF(Y137=0,0,Y137*U137)</f>
        <v>440</v>
      </c>
      <c r="AB137" s="72"/>
      <c r="AC137" s="146">
        <f>AB137/VLOOKUP(S137,Data!$H$22:$I$25,2,FALSE)</f>
        <v>0</v>
      </c>
      <c r="AD137" s="22" t="s">
        <v>157</v>
      </c>
      <c r="AE137" s="146">
        <f>VLOOKUP(S137,Data!$H$22:$J$25,3,FALSE)*T137</f>
        <v>660</v>
      </c>
      <c r="AF137" s="8">
        <f>VLOOKUP(S137,Data!$H$22:$I$25,2,FALSE)*AE137</f>
        <v>660</v>
      </c>
      <c r="AG137" s="8" t="s">
        <v>172</v>
      </c>
      <c r="AH137" s="23">
        <v>0</v>
      </c>
      <c r="AI137" s="72"/>
      <c r="AJ137" s="159">
        <f t="shared" ref="AJ137:AJ200" si="102">IFERROR(AL137/(U137+AB137),0)</f>
        <v>0</v>
      </c>
      <c r="AK137" s="168">
        <f t="shared" si="89"/>
        <v>0</v>
      </c>
      <c r="AL137" s="160">
        <f t="shared" si="90"/>
        <v>0</v>
      </c>
      <c r="AM137" s="168">
        <f t="shared" ref="AM137:AM200" si="103">T137+AC137+AK137</f>
        <v>22000</v>
      </c>
      <c r="AN137" s="160">
        <f t="shared" ref="AN137:AN200" si="104">U137+AB137+AL137</f>
        <v>22000</v>
      </c>
      <c r="AO137" s="160" t="str">
        <f t="shared" si="91"/>
        <v>No</v>
      </c>
      <c r="AP137" s="146">
        <f>IF(AQ137=0,0,AQ137/VLOOKUP(S137,Data!$H$22:$I$25,2,FALSE))</f>
        <v>0</v>
      </c>
      <c r="AQ137" s="183">
        <f t="shared" ref="AQ137:AQ200" si="105">IF(AN137&lt;R137,0,IF(R137-AN137&lt;0,IF(AN137-R137&gt;AL137,AL137,AN137-R137)))</f>
        <v>0</v>
      </c>
      <c r="AR137" s="165">
        <f t="shared" ref="AR137:AR200" si="106">IF(AK137-AP137&lt;0,0,AK137-AP137)</f>
        <v>0</v>
      </c>
      <c r="AS137" s="183">
        <f t="shared" ref="AS137:AS200" si="107">IF(AL137-AQ137&lt;0,0,AL137-AQ137)</f>
        <v>0</v>
      </c>
      <c r="AT137" s="250">
        <f t="shared" ref="AT137:AT200" si="108">IFERROR(AS137/(U137+AB137),0)</f>
        <v>0</v>
      </c>
      <c r="AU137" s="146">
        <f t="shared" ref="AU137:AU200" si="109">AR137+T137+AC137</f>
        <v>22000</v>
      </c>
      <c r="AV137" s="8">
        <f t="shared" ref="AV137:AV200" si="110">AS137+U137+AB137</f>
        <v>22000</v>
      </c>
      <c r="AW137" s="8" t="str">
        <f t="shared" ref="AW137:AW200" si="111">IF(AD137="No","Not Eligible for Merit",IF(AND(AH137&gt;0,AI137&gt;0),"Enter only % Increase OR $ Increase",IF(AND(AG137="Exceeds",OR(AJ137&lt;0.025,AJ137&gt;0.06)),"Not within guidelines",IF(AND(AG137="Meets",OR(AJ137&lt;0.01,AJ137&gt;0.025)),"Not within guidelines",IF(AND(AG137="Below",AJ137&lt;&gt;0),"Not within guidelines",IF(AND(AL137=AQ137,AQ137&gt;0),"Employee to receive full proposed merit increase as a lump sum",IF(AND(AQ137&gt;0,AQ137&lt;AL137),"Employee to receive part of proposed increase as a lump sum","")))))))</f>
        <v/>
      </c>
      <c r="AX137" s="180">
        <f t="shared" ref="AX137:AX200" si="112">IFERROR(AV137/Q137,0)</f>
        <v>0.84615384615384615</v>
      </c>
      <c r="AY137" s="146">
        <f t="shared" ref="AY137:AY200" si="113">IF(OR(AND(AG137="Exceeds",OR(AJ137&lt;0.025,AJ137&gt;0.06)),(AND(AG137="Meets",OR(AJ137&lt;0.01,AJ137&gt;0.025))),(AND(AG137="Below",OR(AJ137&gt;0,AJ137&lt;0))),(AND(AH137&lt;&gt;"",AI137&lt;&gt;"")))=TRUE,1,0)</f>
        <v>0</v>
      </c>
      <c r="AZ137" s="146">
        <f t="shared" ref="AZ137:AZ200" si="114">IF(ISERROR(AY137),1,AY137)</f>
        <v>0</v>
      </c>
      <c r="BA137" s="22" t="s">
        <v>159</v>
      </c>
      <c r="BB137" s="149"/>
      <c r="BC137" s="149"/>
      <c r="BD137" s="144"/>
      <c r="BE137" s="146" t="str">
        <f t="shared" ref="BE137:BE200" si="115">IF(BD137&gt;0,BD137*T137,"")</f>
        <v/>
      </c>
      <c r="BF137" s="8" t="str">
        <f t="shared" ref="BF137:BF200" si="116">IF(BD137&gt;0%,U137*BD137,"")</f>
        <v/>
      </c>
      <c r="BG137" s="8" t="str">
        <f>IF(LEN(BC137)&gt;0,VLOOKUP(BC137,'Job Codes'!B130:I248,7,FALSE),"")</f>
        <v/>
      </c>
      <c r="BH137" s="192" t="str">
        <f>IF(LEN(BC137)&gt;0,VLOOKUP(BC137,'Job Codes'!B130:I248,8,FALSE),"")</f>
        <v/>
      </c>
      <c r="BI137" s="192" t="str">
        <f>IF(LEN(BC137)&gt;0,VLOOKUP(BC137,'Job Codes'!$B$2:$J$120,9,FALSE),"")</f>
        <v/>
      </c>
      <c r="BJ137" s="146" t="str">
        <f>IF(LEN(BC137)&gt;0,VLOOKUP(BC137,'Job Codes'!$B$2:$I$120,4,FALSE),"")</f>
        <v/>
      </c>
      <c r="BK137" s="146" t="str">
        <f>IF(LEN(BC137)&gt;0,VLOOKUP(BC137,'Job Codes'!$B$2:$I$120,5,FALSE),"")</f>
        <v/>
      </c>
      <c r="BL137" s="146" t="str">
        <f>IF(LEN(BC137)&gt;0,VLOOKUP(BC137,'Job Codes'!$B$2:$I$120,6,FALSE),"")</f>
        <v/>
      </c>
      <c r="BM137" s="168">
        <f t="shared" ref="BM137:BM200" si="117">IF(BD137&gt;0,(T137+AR137+AC137+BE137),(T137+AR137+AC137))</f>
        <v>22000</v>
      </c>
      <c r="BN137" s="160">
        <f t="shared" ref="BN137:BN200" si="118">IF(BD137&gt;0,(U137+AB137+AS137+BF137),(U137+AB137+AS137))</f>
        <v>22000</v>
      </c>
      <c r="BO137" s="22" t="s">
        <v>159</v>
      </c>
      <c r="BP137" s="157">
        <f>VLOOKUP(I137,'Job Codes'!$B$2:$I$120,8,FALSE)</f>
        <v>0</v>
      </c>
      <c r="BQ137" s="25" t="str">
        <f>IF(O137&gt;Data!$H$33,"Yes","No")</f>
        <v>No</v>
      </c>
      <c r="BR137" s="191">
        <v>0</v>
      </c>
      <c r="BS137" s="150">
        <f t="shared" ref="BS137:BS200" si="119">BR137*T137</f>
        <v>0</v>
      </c>
      <c r="BT137" s="25">
        <f t="shared" ref="BT137:BT200" si="120">BR137*U137</f>
        <v>0</v>
      </c>
      <c r="BU137" s="161">
        <v>1</v>
      </c>
      <c r="BV137" s="168">
        <f t="shared" ref="BV137:BV200" si="121">IF(BO137="Yes",BU137*BS137,0)</f>
        <v>0</v>
      </c>
      <c r="BW137" s="160">
        <f t="shared" ref="BW137:BW200" si="122">IF(BO137="Yes",BU137*BT137,0)</f>
        <v>0</v>
      </c>
      <c r="BX137" s="149"/>
      <c r="BY137" s="32">
        <f t="shared" ref="BY137:BY200" si="123">IF(AND(BU137&gt;1,(ISBLANK(BX137))),1,0)</f>
        <v>0</v>
      </c>
      <c r="BZ137" s="22" t="s">
        <v>159</v>
      </c>
      <c r="CA137" s="231">
        <f>VLOOKUP(I137,'Job Codes'!$B$2:$J$120,9,FALSE)</f>
        <v>0</v>
      </c>
      <c r="CB137" s="253">
        <f t="shared" ref="CB137:CB200" si="124">IF(CA137=0,0,CA137*U137)</f>
        <v>0</v>
      </c>
      <c r="CC137" s="72"/>
      <c r="CD137" s="25" t="str">
        <f t="shared" ref="CD137:CD200" si="125">AG137</f>
        <v>Below</v>
      </c>
      <c r="CE137" s="27"/>
      <c r="CF137" s="27"/>
      <c r="CG137" s="27"/>
      <c r="CH137" s="27"/>
      <c r="CI137" s="27"/>
      <c r="CJ137" s="3">
        <v>20714</v>
      </c>
      <c r="CK137" s="3" t="s">
        <v>198</v>
      </c>
      <c r="CL137" s="3">
        <v>4569</v>
      </c>
      <c r="CM137" s="3" t="s">
        <v>161</v>
      </c>
      <c r="CN137" s="3">
        <v>4571</v>
      </c>
      <c r="CO137" s="3" t="s">
        <v>162</v>
      </c>
      <c r="CP137" s="3">
        <v>12345</v>
      </c>
      <c r="CQ137" s="3" t="s">
        <v>163</v>
      </c>
      <c r="CR137" s="246" t="s">
        <v>166</v>
      </c>
      <c r="CS137" s="247" t="s">
        <v>167</v>
      </c>
      <c r="CT137" s="246" t="s">
        <v>199</v>
      </c>
      <c r="CU137" s="247" t="s">
        <v>200</v>
      </c>
      <c r="CV137" s="3" t="str">
        <f t="shared" ref="CV137:CV200" si="126">CR137&amp;";"&amp;CT137</f>
        <v>99485;36523</v>
      </c>
      <c r="CW137" s="3" t="s">
        <v>168</v>
      </c>
      <c r="CX137" s="3" t="str">
        <f t="shared" ref="CX137:CX200" si="127">IF(X137="No","AB"&amp;ROW(),"")&amp;";"&amp;IF(AD137="No","AH"&amp;ROW()&amp;";"&amp;"AI"&amp;ROW(),"")&amp;";"&amp;IF(BA137="No","BB"&amp;ROW()&amp;":"&amp;"BD"&amp;ROW(),"")&amp;";"&amp;IF(BO137="No","BU"&amp;ROW()&amp;";"&amp;"BX"&amp;ROW(),""&amp;";"&amp;IF(BZ137="No","CC"&amp;ROW(),""))</f>
        <v>;;BB137:BD137;BU137;BX137</v>
      </c>
      <c r="CY137" s="5" t="str">
        <f t="shared" ref="CY137:CY200" si="128">IF(CE137="Submitted","Lock","Unlock")</f>
        <v>Unlock</v>
      </c>
      <c r="CZ137" s="5" t="str">
        <f t="shared" ref="CZ137:CZ200" si="129">IF(OR(CE137="",DD137&gt;2,CF137="Approved",CK137=""),"Lock","Unlock")</f>
        <v>Lock</v>
      </c>
      <c r="DA137" s="5" t="str">
        <f t="shared" ref="DA137:DA200" si="130">IF(OR(CE137="",DD137&gt;3,CG137="Approved",CM137="",AND(DD137=2,CK137&lt;&gt;"",CF137="")),"Lock","Unlock")</f>
        <v>Lock</v>
      </c>
      <c r="DB137" s="5" t="str">
        <f t="shared" ref="DB137:DB200" si="131">IF(OR(CE137="",DD137="Final",CH137="Approved",CO137="",AND(DD137=2,CK137&lt;&gt;"",CF137=""),AND(DD137=3,CM137&lt;&gt;"",CG137="")),"Lock","Unlock")</f>
        <v>Lock</v>
      </c>
      <c r="DC137" s="5" t="str">
        <f t="shared" ref="DC137:DC200" si="132">IF(OR(CE137="",CI137="Approved",AND(DD137&lt;&gt;"Final",CK137&lt;&gt;"",CF137=""),AND(DD137&lt;&gt;"Final",CM137&lt;&gt;"",CG137=""),AND(DD137&lt;&gt;"Final",CO137&lt;&gt;"",CH137="")),"Lock","Unlock")</f>
        <v>Lock</v>
      </c>
      <c r="DD137" s="78">
        <f t="shared" ref="DD137:DD200" si="133">IF(CK137&lt;&gt;"",2,IF(CM137&lt;&gt;"",3,IF(CO137&lt;&gt;"",4,IF(CQ137&lt;&gt;"","Final"))))</f>
        <v>2</v>
      </c>
      <c r="DE137" s="2"/>
      <c r="DF137" s="2"/>
      <c r="DG137" s="2"/>
      <c r="DH137" s="2"/>
      <c r="DI137" s="2"/>
      <c r="DJ137" s="2"/>
      <c r="DK137" s="5"/>
      <c r="DL137" s="2"/>
      <c r="DM137" s="2"/>
      <c r="DN137" s="2"/>
      <c r="DO137" s="2"/>
      <c r="DP137" s="2"/>
      <c r="DQ137" s="2"/>
      <c r="DR137" s="2"/>
      <c r="DS137" s="2"/>
      <c r="DT137" s="2"/>
      <c r="DU137" s="2"/>
      <c r="DV137" s="2"/>
      <c r="DW137" s="2"/>
      <c r="DX137" s="2"/>
      <c r="DY137" s="2"/>
      <c r="DZ137" s="2"/>
      <c r="EA137" s="2"/>
      <c r="EB137" s="2"/>
      <c r="EC137" s="2"/>
      <c r="ED137" s="2"/>
      <c r="EE137" s="2"/>
      <c r="EF137" s="1"/>
      <c r="EG137" s="98"/>
      <c r="EH137" s="98"/>
      <c r="EI137" s="1"/>
      <c r="EJ137" s="1"/>
      <c r="EK137" s="98"/>
      <c r="EL137" s="1"/>
    </row>
    <row r="138" spans="1:142">
      <c r="A138" s="32">
        <f t="shared" si="92"/>
        <v>9247</v>
      </c>
      <c r="B138" s="3" t="str">
        <f t="shared" si="93"/>
        <v>sv_statement//Statement//Export Statement&amp;PDFID=Katherine Stamp_9247&amp;SO=Y</v>
      </c>
      <c r="C138" s="5" t="str">
        <f t="shared" ref="C138:C201" si="134">IF(OR(AD138="Yes",BA138="Yes",BO138="Yes"),CW138,"")</f>
        <v>Statement</v>
      </c>
      <c r="D138" s="5" t="str">
        <f t="shared" si="94"/>
        <v>Katherine Stamp_9247</v>
      </c>
      <c r="E138" s="5"/>
      <c r="F138" s="5">
        <v>9247</v>
      </c>
      <c r="G138" s="22" t="s">
        <v>429</v>
      </c>
      <c r="H138" s="5" t="s">
        <v>367</v>
      </c>
      <c r="I138" s="5" t="s">
        <v>430</v>
      </c>
      <c r="J138" s="5" t="s">
        <v>252</v>
      </c>
      <c r="K138" s="5" t="s">
        <v>319</v>
      </c>
      <c r="L138" s="31">
        <f t="shared" si="95"/>
        <v>29331</v>
      </c>
      <c r="M138" s="5" t="s">
        <v>320</v>
      </c>
      <c r="N138" s="22" t="s">
        <v>155</v>
      </c>
      <c r="O138" s="100">
        <v>38159</v>
      </c>
      <c r="P138" s="146">
        <f>VLOOKUP(I138,'Job Codes'!$B$2:$I$120,4,FALSE)</f>
        <v>26500</v>
      </c>
      <c r="Q138" s="146">
        <f>VLOOKUP(I138,'Job Codes'!$B$2:$I$120,5,FALSE)</f>
        <v>34450</v>
      </c>
      <c r="R138" s="146">
        <f>VLOOKUP(I138,'Job Codes'!$B$2:$I$120,6,FALSE)</f>
        <v>41340</v>
      </c>
      <c r="S138" s="22" t="s">
        <v>171</v>
      </c>
      <c r="T138" s="146">
        <v>31346</v>
      </c>
      <c r="U138" s="8">
        <f>VLOOKUP(S138,Data!$H$22:$I$25,2,FALSE)*T138</f>
        <v>31346</v>
      </c>
      <c r="V138" s="180">
        <f t="shared" si="96"/>
        <v>0.90989840348330919</v>
      </c>
      <c r="W138" s="180">
        <f t="shared" si="97"/>
        <v>9.9023798889810499E-2</v>
      </c>
      <c r="X138" s="22" t="str">
        <f t="shared" si="98"/>
        <v>Yes</v>
      </c>
      <c r="Y138" s="180">
        <f t="shared" si="99"/>
        <v>0.02</v>
      </c>
      <c r="Z138" s="146">
        <f t="shared" si="100"/>
        <v>626.91999999999996</v>
      </c>
      <c r="AA138" s="146">
        <f t="shared" si="101"/>
        <v>626.91999999999996</v>
      </c>
      <c r="AB138" s="72"/>
      <c r="AC138" s="146">
        <f>AB138/VLOOKUP(S138,Data!$H$22:$I$25,2,FALSE)</f>
        <v>0</v>
      </c>
      <c r="AD138" s="22" t="s">
        <v>157</v>
      </c>
      <c r="AE138" s="146">
        <f>VLOOKUP(S138,Data!$H$22:$J$25,3,FALSE)*T138</f>
        <v>940.38</v>
      </c>
      <c r="AF138" s="8">
        <f>VLOOKUP(S138,Data!$H$22:$I$25,2,FALSE)*AE138</f>
        <v>940.38</v>
      </c>
      <c r="AG138" s="8" t="s">
        <v>178</v>
      </c>
      <c r="AH138" s="23">
        <v>2.5000000000000001E-2</v>
      </c>
      <c r="AI138" s="72"/>
      <c r="AJ138" s="159">
        <f t="shared" si="102"/>
        <v>2.5000000000000001E-2</v>
      </c>
      <c r="AK138" s="168">
        <f t="shared" ref="AK138:AK201" si="135">AJ138*(T138+AC138)</f>
        <v>783.65000000000009</v>
      </c>
      <c r="AL138" s="160">
        <f t="shared" ref="AL138:AL201" si="136">IF(AH138="",AI138,(U138+AB138)*AH138)</f>
        <v>783.65000000000009</v>
      </c>
      <c r="AM138" s="168">
        <f t="shared" si="103"/>
        <v>32129.65</v>
      </c>
      <c r="AN138" s="160">
        <f t="shared" si="104"/>
        <v>32129.65</v>
      </c>
      <c r="AO138" s="160" t="str">
        <f t="shared" ref="AO138:AO201" si="137">IF(AN138&gt;R138,"Yes by USD "&amp;TEXT((AN138-R138),"#,##0"),"No")</f>
        <v>No</v>
      </c>
      <c r="AP138" s="146">
        <f>IF(AQ138=0,0,AQ138/VLOOKUP(S138,Data!$H$22:$I$25,2,FALSE))</f>
        <v>0</v>
      </c>
      <c r="AQ138" s="183">
        <f t="shared" si="105"/>
        <v>0</v>
      </c>
      <c r="AR138" s="165">
        <f t="shared" si="106"/>
        <v>783.65000000000009</v>
      </c>
      <c r="AS138" s="183">
        <f t="shared" si="107"/>
        <v>783.65000000000009</v>
      </c>
      <c r="AT138" s="250">
        <f t="shared" si="108"/>
        <v>2.5000000000000001E-2</v>
      </c>
      <c r="AU138" s="146">
        <f t="shared" si="109"/>
        <v>32129.65</v>
      </c>
      <c r="AV138" s="8">
        <f t="shared" si="110"/>
        <v>32129.65</v>
      </c>
      <c r="AW138" s="8" t="str">
        <f t="shared" si="111"/>
        <v/>
      </c>
      <c r="AX138" s="180">
        <f t="shared" si="112"/>
        <v>0.93264586357039192</v>
      </c>
      <c r="AY138" s="146">
        <f t="shared" si="113"/>
        <v>0</v>
      </c>
      <c r="AZ138" s="146">
        <f t="shared" si="114"/>
        <v>0</v>
      </c>
      <c r="BA138" s="22" t="s">
        <v>159</v>
      </c>
      <c r="BB138" s="149"/>
      <c r="BC138" s="149"/>
      <c r="BD138" s="144"/>
      <c r="BE138" s="146" t="str">
        <f t="shared" si="115"/>
        <v/>
      </c>
      <c r="BF138" s="8" t="str">
        <f t="shared" si="116"/>
        <v/>
      </c>
      <c r="BG138" s="8" t="str">
        <f>IF(LEN(BC138)&gt;0,VLOOKUP(BC138,'Job Codes'!B131:I249,7,FALSE),"")</f>
        <v/>
      </c>
      <c r="BH138" s="192" t="str">
        <f>IF(LEN(BC138)&gt;0,VLOOKUP(BC138,'Job Codes'!B131:I249,8,FALSE),"")</f>
        <v/>
      </c>
      <c r="BI138" s="192" t="str">
        <f>IF(LEN(BC138)&gt;0,VLOOKUP(BC138,'Job Codes'!$B$2:$J$120,9,FALSE),"")</f>
        <v/>
      </c>
      <c r="BJ138" s="146" t="str">
        <f>IF(LEN(BC138)&gt;0,VLOOKUP(BC138,'Job Codes'!$B$2:$I$120,4,FALSE),"")</f>
        <v/>
      </c>
      <c r="BK138" s="146" t="str">
        <f>IF(LEN(BC138)&gt;0,VLOOKUP(BC138,'Job Codes'!$B$2:$I$120,5,FALSE),"")</f>
        <v/>
      </c>
      <c r="BL138" s="146" t="str">
        <f>IF(LEN(BC138)&gt;0,VLOOKUP(BC138,'Job Codes'!$B$2:$I$120,6,FALSE),"")</f>
        <v/>
      </c>
      <c r="BM138" s="168">
        <f t="shared" si="117"/>
        <v>32129.65</v>
      </c>
      <c r="BN138" s="160">
        <f t="shared" si="118"/>
        <v>32129.65</v>
      </c>
      <c r="BO138" s="22" t="s">
        <v>157</v>
      </c>
      <c r="BP138" s="157">
        <f>VLOOKUP(I138,'Job Codes'!$B$2:$I$120,8,FALSE)</f>
        <v>0.05</v>
      </c>
      <c r="BQ138" s="25" t="str">
        <f>IF(O138&gt;Data!$H$33,"Yes","No")</f>
        <v>No</v>
      </c>
      <c r="BR138" s="191">
        <v>0.05</v>
      </c>
      <c r="BS138" s="150">
        <f t="shared" si="119"/>
        <v>1567.3000000000002</v>
      </c>
      <c r="BT138" s="25">
        <f t="shared" si="120"/>
        <v>1567.3000000000002</v>
      </c>
      <c r="BU138" s="161">
        <v>1</v>
      </c>
      <c r="BV138" s="168">
        <f t="shared" si="121"/>
        <v>1567.3000000000002</v>
      </c>
      <c r="BW138" s="160">
        <f t="shared" si="122"/>
        <v>1567.3000000000002</v>
      </c>
      <c r="BX138" s="149"/>
      <c r="BY138" s="32">
        <f t="shared" si="123"/>
        <v>0</v>
      </c>
      <c r="BZ138" s="22" t="s">
        <v>159</v>
      </c>
      <c r="CA138" s="231">
        <f>VLOOKUP(I138,'Job Codes'!$B$2:$J$120,9,FALSE)</f>
        <v>0</v>
      </c>
      <c r="CB138" s="253">
        <f t="shared" si="124"/>
        <v>0</v>
      </c>
      <c r="CC138" s="72"/>
      <c r="CD138" s="25" t="str">
        <f t="shared" si="125"/>
        <v>Meets</v>
      </c>
      <c r="CE138" s="27"/>
      <c r="CF138" s="27"/>
      <c r="CG138" s="27"/>
      <c r="CH138" s="27"/>
      <c r="CI138" s="27"/>
      <c r="CJ138" s="3">
        <v>29271</v>
      </c>
      <c r="CK138" s="3" t="s">
        <v>255</v>
      </c>
      <c r="CL138" s="3">
        <v>4569</v>
      </c>
      <c r="CM138" s="3" t="s">
        <v>161</v>
      </c>
      <c r="CN138" s="3">
        <v>4571</v>
      </c>
      <c r="CO138" s="3" t="s">
        <v>162</v>
      </c>
      <c r="CP138" s="3">
        <v>12345</v>
      </c>
      <c r="CQ138" s="3" t="s">
        <v>163</v>
      </c>
      <c r="CR138" s="246" t="s">
        <v>164</v>
      </c>
      <c r="CS138" s="5" t="s">
        <v>165</v>
      </c>
      <c r="CT138" s="246" t="s">
        <v>256</v>
      </c>
      <c r="CU138" s="247" t="s">
        <v>257</v>
      </c>
      <c r="CV138" s="3" t="str">
        <f t="shared" si="126"/>
        <v>67890;86672</v>
      </c>
      <c r="CW138" s="3" t="s">
        <v>168</v>
      </c>
      <c r="CX138" s="3" t="str">
        <f t="shared" si="127"/>
        <v>;;BB138:BD138;;CC138</v>
      </c>
      <c r="CY138" s="5" t="str">
        <f t="shared" si="128"/>
        <v>Unlock</v>
      </c>
      <c r="CZ138" s="5" t="str">
        <f t="shared" si="129"/>
        <v>Lock</v>
      </c>
      <c r="DA138" s="5" t="str">
        <f t="shared" si="130"/>
        <v>Lock</v>
      </c>
      <c r="DB138" s="5" t="str">
        <f t="shared" si="131"/>
        <v>Lock</v>
      </c>
      <c r="DC138" s="5" t="str">
        <f t="shared" si="132"/>
        <v>Lock</v>
      </c>
      <c r="DD138" s="78">
        <f t="shared" si="133"/>
        <v>2</v>
      </c>
      <c r="DE138" s="2"/>
      <c r="DF138" s="2"/>
      <c r="DG138" s="2"/>
      <c r="DH138" s="2"/>
      <c r="DI138" s="2"/>
      <c r="DJ138" s="2"/>
      <c r="DK138" s="5"/>
      <c r="DL138" s="2"/>
      <c r="DM138" s="2"/>
      <c r="DN138" s="2"/>
      <c r="DO138" s="2"/>
      <c r="DP138" s="2"/>
      <c r="DQ138" s="2"/>
      <c r="DR138" s="2"/>
      <c r="DS138" s="2"/>
      <c r="DT138" s="2"/>
      <c r="DU138" s="2"/>
      <c r="DV138" s="2"/>
      <c r="DW138" s="2"/>
      <c r="DX138" s="2"/>
      <c r="DY138" s="2"/>
      <c r="DZ138" s="2"/>
      <c r="EA138" s="2"/>
      <c r="EB138" s="2"/>
      <c r="EC138" s="2"/>
      <c r="ED138" s="2"/>
      <c r="EE138" s="2"/>
      <c r="EF138" s="1"/>
      <c r="EG138" s="98"/>
      <c r="EH138" s="98"/>
      <c r="EI138" s="1"/>
      <c r="EJ138" s="1"/>
      <c r="EK138" s="98"/>
      <c r="EL138" s="1"/>
    </row>
    <row r="139" spans="1:142">
      <c r="A139" s="32">
        <f t="shared" si="92"/>
        <v>9265</v>
      </c>
      <c r="B139" s="3" t="str">
        <f t="shared" si="93"/>
        <v>sv_statement//Statement//Export Statement&amp;PDFID=Joshua Darnell_9265&amp;SO=Y</v>
      </c>
      <c r="C139" s="5" t="str">
        <f t="shared" si="134"/>
        <v>Statement</v>
      </c>
      <c r="D139" s="5" t="str">
        <f t="shared" si="94"/>
        <v>Joshua Darnell_9265</v>
      </c>
      <c r="E139" s="5"/>
      <c r="F139" s="5">
        <v>9265</v>
      </c>
      <c r="G139" s="22" t="s">
        <v>431</v>
      </c>
      <c r="H139" s="5" t="s">
        <v>367</v>
      </c>
      <c r="I139" s="5" t="s">
        <v>432</v>
      </c>
      <c r="J139" s="5" t="s">
        <v>252</v>
      </c>
      <c r="K139" s="5" t="s">
        <v>319</v>
      </c>
      <c r="L139" s="31">
        <f t="shared" si="95"/>
        <v>29331</v>
      </c>
      <c r="M139" s="5" t="s">
        <v>320</v>
      </c>
      <c r="N139" s="22" t="s">
        <v>155</v>
      </c>
      <c r="O139" s="100">
        <v>38170</v>
      </c>
      <c r="P139" s="146">
        <f>VLOOKUP(I139,'Job Codes'!$B$2:$I$120,4,FALSE)</f>
        <v>33000</v>
      </c>
      <c r="Q139" s="146">
        <f>VLOOKUP(I139,'Job Codes'!$B$2:$I$120,5,FALSE)</f>
        <v>42900</v>
      </c>
      <c r="R139" s="146">
        <f>VLOOKUP(I139,'Job Codes'!$B$2:$I$120,6,FALSE)</f>
        <v>51480</v>
      </c>
      <c r="S139" s="22" t="s">
        <v>171</v>
      </c>
      <c r="T139" s="146">
        <v>35485</v>
      </c>
      <c r="U139" s="8">
        <f>VLOOKUP(S139,Data!$H$22:$I$25,2,FALSE)*T139</f>
        <v>35485</v>
      </c>
      <c r="V139" s="180">
        <f t="shared" si="96"/>
        <v>0.82715617715617717</v>
      </c>
      <c r="W139" s="180">
        <f t="shared" si="97"/>
        <v>0.20896153304213047</v>
      </c>
      <c r="X139" s="22" t="str">
        <f t="shared" si="98"/>
        <v>Yes</v>
      </c>
      <c r="Y139" s="180">
        <f t="shared" si="99"/>
        <v>0.02</v>
      </c>
      <c r="Z139" s="146">
        <f t="shared" si="100"/>
        <v>709.7</v>
      </c>
      <c r="AA139" s="146">
        <f t="shared" si="101"/>
        <v>709.7</v>
      </c>
      <c r="AB139" s="72"/>
      <c r="AC139" s="146">
        <f>AB139/VLOOKUP(S139,Data!$H$22:$I$25,2,FALSE)</f>
        <v>0</v>
      </c>
      <c r="AD139" s="22" t="s">
        <v>157</v>
      </c>
      <c r="AE139" s="146">
        <f>VLOOKUP(S139,Data!$H$22:$J$25,3,FALSE)*T139</f>
        <v>1064.55</v>
      </c>
      <c r="AF139" s="8">
        <f>VLOOKUP(S139,Data!$H$22:$I$25,2,FALSE)*AE139</f>
        <v>1064.55</v>
      </c>
      <c r="AG139" s="8" t="s">
        <v>178</v>
      </c>
      <c r="AH139" s="23">
        <v>2.5000000000000001E-2</v>
      </c>
      <c r="AI139" s="72"/>
      <c r="AJ139" s="159">
        <f t="shared" si="102"/>
        <v>2.5000000000000001E-2</v>
      </c>
      <c r="AK139" s="168">
        <f t="shared" si="135"/>
        <v>887.125</v>
      </c>
      <c r="AL139" s="160">
        <f t="shared" si="136"/>
        <v>887.125</v>
      </c>
      <c r="AM139" s="168">
        <f t="shared" si="103"/>
        <v>36372.125</v>
      </c>
      <c r="AN139" s="160">
        <f t="shared" si="104"/>
        <v>36372.125</v>
      </c>
      <c r="AO139" s="160" t="str">
        <f t="shared" si="137"/>
        <v>No</v>
      </c>
      <c r="AP139" s="146">
        <f>IF(AQ139=0,0,AQ139/VLOOKUP(S139,Data!$H$22:$I$25,2,FALSE))</f>
        <v>0</v>
      </c>
      <c r="AQ139" s="183">
        <f t="shared" si="105"/>
        <v>0</v>
      </c>
      <c r="AR139" s="165">
        <f t="shared" si="106"/>
        <v>887.125</v>
      </c>
      <c r="AS139" s="183">
        <f t="shared" si="107"/>
        <v>887.125</v>
      </c>
      <c r="AT139" s="250">
        <f t="shared" si="108"/>
        <v>2.5000000000000001E-2</v>
      </c>
      <c r="AU139" s="146">
        <f t="shared" si="109"/>
        <v>36372.125</v>
      </c>
      <c r="AV139" s="8">
        <f t="shared" si="110"/>
        <v>36372.125</v>
      </c>
      <c r="AW139" s="8" t="str">
        <f t="shared" si="111"/>
        <v/>
      </c>
      <c r="AX139" s="180">
        <f t="shared" si="112"/>
        <v>0.84783508158508158</v>
      </c>
      <c r="AY139" s="146">
        <f t="shared" si="113"/>
        <v>0</v>
      </c>
      <c r="AZ139" s="146">
        <f t="shared" si="114"/>
        <v>0</v>
      </c>
      <c r="BA139" s="22" t="s">
        <v>159</v>
      </c>
      <c r="BB139" s="149"/>
      <c r="BC139" s="149"/>
      <c r="BD139" s="144"/>
      <c r="BE139" s="146" t="str">
        <f t="shared" si="115"/>
        <v/>
      </c>
      <c r="BF139" s="8" t="str">
        <f t="shared" si="116"/>
        <v/>
      </c>
      <c r="BG139" s="8" t="str">
        <f>IF(LEN(BC139)&gt;0,VLOOKUP(BC139,'Job Codes'!B132:I250,7,FALSE),"")</f>
        <v/>
      </c>
      <c r="BH139" s="192" t="str">
        <f>IF(LEN(BC139)&gt;0,VLOOKUP(BC139,'Job Codes'!B132:I250,8,FALSE),"")</f>
        <v/>
      </c>
      <c r="BI139" s="192" t="str">
        <f>IF(LEN(BC139)&gt;0,VLOOKUP(BC139,'Job Codes'!$B$2:$J$120,9,FALSE),"")</f>
        <v/>
      </c>
      <c r="BJ139" s="146" t="str">
        <f>IF(LEN(BC139)&gt;0,VLOOKUP(BC139,'Job Codes'!$B$2:$I$120,4,FALSE),"")</f>
        <v/>
      </c>
      <c r="BK139" s="146" t="str">
        <f>IF(LEN(BC139)&gt;0,VLOOKUP(BC139,'Job Codes'!$B$2:$I$120,5,FALSE),"")</f>
        <v/>
      </c>
      <c r="BL139" s="146" t="str">
        <f>IF(LEN(BC139)&gt;0,VLOOKUP(BC139,'Job Codes'!$B$2:$I$120,6,FALSE),"")</f>
        <v/>
      </c>
      <c r="BM139" s="168">
        <f t="shared" si="117"/>
        <v>36372.125</v>
      </c>
      <c r="BN139" s="160">
        <f t="shared" si="118"/>
        <v>36372.125</v>
      </c>
      <c r="BO139" s="22" t="s">
        <v>157</v>
      </c>
      <c r="BP139" s="157">
        <f>VLOOKUP(I139,'Job Codes'!$B$2:$I$120,8,FALSE)</f>
        <v>0.1</v>
      </c>
      <c r="BQ139" s="25" t="str">
        <f>IF(O139&gt;Data!$H$33,"Yes","No")</f>
        <v>No</v>
      </c>
      <c r="BR139" s="191">
        <v>0.1</v>
      </c>
      <c r="BS139" s="150">
        <f t="shared" si="119"/>
        <v>3548.5</v>
      </c>
      <c r="BT139" s="25">
        <f t="shared" si="120"/>
        <v>3548.5</v>
      </c>
      <c r="BU139" s="161">
        <v>1</v>
      </c>
      <c r="BV139" s="168">
        <f t="shared" si="121"/>
        <v>3548.5</v>
      </c>
      <c r="BW139" s="160">
        <f t="shared" si="122"/>
        <v>3548.5</v>
      </c>
      <c r="BX139" s="149"/>
      <c r="BY139" s="32">
        <f t="shared" si="123"/>
        <v>0</v>
      </c>
      <c r="BZ139" s="22" t="s">
        <v>157</v>
      </c>
      <c r="CA139" s="231">
        <f>VLOOKUP(I139,'Job Codes'!$B$2:$J$120,9,FALSE)</f>
        <v>0.1</v>
      </c>
      <c r="CB139" s="253">
        <f t="shared" si="124"/>
        <v>3548.5</v>
      </c>
      <c r="CC139" s="72"/>
      <c r="CD139" s="25" t="str">
        <f t="shared" si="125"/>
        <v>Meets</v>
      </c>
      <c r="CE139" s="27"/>
      <c r="CF139" s="27"/>
      <c r="CG139" s="27"/>
      <c r="CH139" s="27"/>
      <c r="CI139" s="27"/>
      <c r="CJ139" s="3">
        <v>29271</v>
      </c>
      <c r="CK139" s="3" t="s">
        <v>255</v>
      </c>
      <c r="CL139" s="3">
        <v>4569</v>
      </c>
      <c r="CM139" s="3" t="s">
        <v>161</v>
      </c>
      <c r="CN139" s="3">
        <v>4571</v>
      </c>
      <c r="CO139" s="3" t="s">
        <v>162</v>
      </c>
      <c r="CP139" s="3">
        <v>12345</v>
      </c>
      <c r="CQ139" s="3" t="s">
        <v>163</v>
      </c>
      <c r="CR139" s="246" t="s">
        <v>164</v>
      </c>
      <c r="CS139" s="5" t="s">
        <v>165</v>
      </c>
      <c r="CT139" s="246" t="s">
        <v>256</v>
      </c>
      <c r="CU139" s="247" t="s">
        <v>257</v>
      </c>
      <c r="CV139" s="3" t="str">
        <f t="shared" si="126"/>
        <v>67890;86672</v>
      </c>
      <c r="CW139" s="3" t="s">
        <v>168</v>
      </c>
      <c r="CX139" s="3" t="str">
        <f t="shared" si="127"/>
        <v>;;BB139:BD139;;</v>
      </c>
      <c r="CY139" s="5" t="str">
        <f t="shared" si="128"/>
        <v>Unlock</v>
      </c>
      <c r="CZ139" s="5" t="str">
        <f t="shared" si="129"/>
        <v>Lock</v>
      </c>
      <c r="DA139" s="5" t="str">
        <f t="shared" si="130"/>
        <v>Lock</v>
      </c>
      <c r="DB139" s="5" t="str">
        <f t="shared" si="131"/>
        <v>Lock</v>
      </c>
      <c r="DC139" s="5" t="str">
        <f t="shared" si="132"/>
        <v>Lock</v>
      </c>
      <c r="DD139" s="78">
        <f t="shared" si="133"/>
        <v>2</v>
      </c>
      <c r="DE139" s="2"/>
      <c r="DF139" s="2"/>
      <c r="DG139" s="2"/>
      <c r="DH139" s="2"/>
      <c r="DI139" s="2"/>
      <c r="DJ139" s="2"/>
      <c r="DK139" s="5"/>
      <c r="DL139" s="2"/>
      <c r="DM139" s="2"/>
      <c r="DN139" s="2"/>
      <c r="DO139" s="2"/>
      <c r="DP139" s="2"/>
      <c r="DQ139" s="2"/>
      <c r="DR139" s="2"/>
      <c r="DS139" s="2"/>
      <c r="DT139" s="2"/>
      <c r="DU139" s="2"/>
      <c r="DV139" s="2"/>
      <c r="DW139" s="2"/>
      <c r="DX139" s="2"/>
      <c r="DY139" s="2"/>
      <c r="DZ139" s="2"/>
      <c r="EA139" s="2"/>
      <c r="EB139" s="2"/>
      <c r="EC139" s="2"/>
      <c r="ED139" s="2"/>
      <c r="EE139" s="2"/>
      <c r="EF139" s="1"/>
      <c r="EG139" s="98"/>
      <c r="EH139" s="98"/>
      <c r="EI139" s="1"/>
      <c r="EJ139" s="1"/>
      <c r="EK139" s="98"/>
      <c r="EL139" s="1"/>
    </row>
    <row r="140" spans="1:142">
      <c r="A140" s="32">
        <f t="shared" si="92"/>
        <v>9288</v>
      </c>
      <c r="B140" s="3" t="str">
        <f t="shared" si="93"/>
        <v>sv_statement//Statement//Export Statement&amp;PDFID=Sheryl Stumpf_9288&amp;SO=Y</v>
      </c>
      <c r="C140" s="5" t="str">
        <f t="shared" si="134"/>
        <v>Statement</v>
      </c>
      <c r="D140" s="5" t="str">
        <f t="shared" si="94"/>
        <v>Sheryl Stumpf_9288</v>
      </c>
      <c r="E140" s="5"/>
      <c r="F140" s="5">
        <v>9288</v>
      </c>
      <c r="G140" s="22" t="s">
        <v>433</v>
      </c>
      <c r="H140" s="5" t="s">
        <v>367</v>
      </c>
      <c r="I140" s="5" t="s">
        <v>434</v>
      </c>
      <c r="J140" s="5" t="s">
        <v>252</v>
      </c>
      <c r="K140" s="5" t="s">
        <v>333</v>
      </c>
      <c r="L140" s="31">
        <f t="shared" si="95"/>
        <v>29326</v>
      </c>
      <c r="M140" s="5" t="s">
        <v>334</v>
      </c>
      <c r="N140" s="22" t="s">
        <v>155</v>
      </c>
      <c r="O140" s="100">
        <v>38383</v>
      </c>
      <c r="P140" s="146">
        <f>VLOOKUP(I140,'Job Codes'!$B$2:$I$120,4,FALSE)</f>
        <v>33000</v>
      </c>
      <c r="Q140" s="146">
        <f>VLOOKUP(I140,'Job Codes'!$B$2:$I$120,5,FALSE)</f>
        <v>42900</v>
      </c>
      <c r="R140" s="146">
        <f>VLOOKUP(I140,'Job Codes'!$B$2:$I$120,6,FALSE)</f>
        <v>51480</v>
      </c>
      <c r="S140" s="22" t="s">
        <v>171</v>
      </c>
      <c r="T140" s="146">
        <v>35651</v>
      </c>
      <c r="U140" s="8">
        <f>VLOOKUP(S140,Data!$H$22:$I$25,2,FALSE)*T140</f>
        <v>35651</v>
      </c>
      <c r="V140" s="180">
        <f t="shared" si="96"/>
        <v>0.83102564102564103</v>
      </c>
      <c r="W140" s="180">
        <f t="shared" si="97"/>
        <v>0.20333230484418388</v>
      </c>
      <c r="X140" s="22" t="str">
        <f t="shared" si="98"/>
        <v>Yes</v>
      </c>
      <c r="Y140" s="180">
        <f t="shared" si="99"/>
        <v>0.02</v>
      </c>
      <c r="Z140" s="146">
        <f t="shared" si="100"/>
        <v>713.02</v>
      </c>
      <c r="AA140" s="146">
        <f t="shared" si="101"/>
        <v>713.02</v>
      </c>
      <c r="AB140" s="72"/>
      <c r="AC140" s="146">
        <f>AB140/VLOOKUP(S140,Data!$H$22:$I$25,2,FALSE)</f>
        <v>0</v>
      </c>
      <c r="AD140" s="22" t="s">
        <v>157</v>
      </c>
      <c r="AE140" s="146">
        <f>VLOOKUP(S140,Data!$H$22:$J$25,3,FALSE)*T140</f>
        <v>1069.53</v>
      </c>
      <c r="AF140" s="8">
        <f>VLOOKUP(S140,Data!$H$22:$I$25,2,FALSE)*AE140</f>
        <v>1069.53</v>
      </c>
      <c r="AG140" s="8" t="s">
        <v>158</v>
      </c>
      <c r="AH140" s="23">
        <v>0.04</v>
      </c>
      <c r="AI140" s="72"/>
      <c r="AJ140" s="159">
        <f t="shared" si="102"/>
        <v>0.04</v>
      </c>
      <c r="AK140" s="168">
        <f t="shared" si="135"/>
        <v>1426.04</v>
      </c>
      <c r="AL140" s="160">
        <f t="shared" si="136"/>
        <v>1426.04</v>
      </c>
      <c r="AM140" s="168">
        <f t="shared" si="103"/>
        <v>37077.040000000001</v>
      </c>
      <c r="AN140" s="160">
        <f t="shared" si="104"/>
        <v>37077.040000000001</v>
      </c>
      <c r="AO140" s="160" t="str">
        <f t="shared" si="137"/>
        <v>No</v>
      </c>
      <c r="AP140" s="146">
        <f>IF(AQ140=0,0,AQ140/VLOOKUP(S140,Data!$H$22:$I$25,2,FALSE))</f>
        <v>0</v>
      </c>
      <c r="AQ140" s="183">
        <f t="shared" si="105"/>
        <v>0</v>
      </c>
      <c r="AR140" s="165">
        <f t="shared" si="106"/>
        <v>1426.04</v>
      </c>
      <c r="AS140" s="183">
        <f t="shared" si="107"/>
        <v>1426.04</v>
      </c>
      <c r="AT140" s="250">
        <f t="shared" si="108"/>
        <v>0.04</v>
      </c>
      <c r="AU140" s="146">
        <f t="shared" si="109"/>
        <v>37077.040000000001</v>
      </c>
      <c r="AV140" s="8">
        <f t="shared" si="110"/>
        <v>37077.040000000001</v>
      </c>
      <c r="AW140" s="8" t="str">
        <f t="shared" si="111"/>
        <v/>
      </c>
      <c r="AX140" s="180">
        <f t="shared" si="112"/>
        <v>0.86426666666666674</v>
      </c>
      <c r="AY140" s="146">
        <f t="shared" si="113"/>
        <v>0</v>
      </c>
      <c r="AZ140" s="146">
        <f t="shared" si="114"/>
        <v>0</v>
      </c>
      <c r="BA140" s="22" t="s">
        <v>159</v>
      </c>
      <c r="BB140" s="149"/>
      <c r="BC140" s="149"/>
      <c r="BD140" s="144"/>
      <c r="BE140" s="146" t="str">
        <f t="shared" si="115"/>
        <v/>
      </c>
      <c r="BF140" s="8" t="str">
        <f t="shared" si="116"/>
        <v/>
      </c>
      <c r="BG140" s="8" t="str">
        <f>IF(LEN(BC140)&gt;0,VLOOKUP(BC140,'Job Codes'!B133:I251,7,FALSE),"")</f>
        <v/>
      </c>
      <c r="BH140" s="192" t="str">
        <f>IF(LEN(BC140)&gt;0,VLOOKUP(BC140,'Job Codes'!B133:I251,8,FALSE),"")</f>
        <v/>
      </c>
      <c r="BI140" s="192" t="str">
        <f>IF(LEN(BC140)&gt;0,VLOOKUP(BC140,'Job Codes'!$B$2:$J$120,9,FALSE),"")</f>
        <v/>
      </c>
      <c r="BJ140" s="146" t="str">
        <f>IF(LEN(BC140)&gt;0,VLOOKUP(BC140,'Job Codes'!$B$2:$I$120,4,FALSE),"")</f>
        <v/>
      </c>
      <c r="BK140" s="146" t="str">
        <f>IF(LEN(BC140)&gt;0,VLOOKUP(BC140,'Job Codes'!$B$2:$I$120,5,FALSE),"")</f>
        <v/>
      </c>
      <c r="BL140" s="146" t="str">
        <f>IF(LEN(BC140)&gt;0,VLOOKUP(BC140,'Job Codes'!$B$2:$I$120,6,FALSE),"")</f>
        <v/>
      </c>
      <c r="BM140" s="168">
        <f t="shared" si="117"/>
        <v>37077.040000000001</v>
      </c>
      <c r="BN140" s="160">
        <f t="shared" si="118"/>
        <v>37077.040000000001</v>
      </c>
      <c r="BO140" s="22" t="s">
        <v>157</v>
      </c>
      <c r="BP140" s="157">
        <f>VLOOKUP(I140,'Job Codes'!$B$2:$I$120,8,FALSE)</f>
        <v>0.1</v>
      </c>
      <c r="BQ140" s="25" t="str">
        <f>IF(O140&gt;Data!$H$33,"Yes","No")</f>
        <v>No</v>
      </c>
      <c r="BR140" s="191">
        <v>0.1</v>
      </c>
      <c r="BS140" s="150">
        <f t="shared" si="119"/>
        <v>3565.1000000000004</v>
      </c>
      <c r="BT140" s="25">
        <f t="shared" si="120"/>
        <v>3565.1000000000004</v>
      </c>
      <c r="BU140" s="161">
        <v>1</v>
      </c>
      <c r="BV140" s="168">
        <f t="shared" si="121"/>
        <v>3565.1000000000004</v>
      </c>
      <c r="BW140" s="160">
        <f t="shared" si="122"/>
        <v>3565.1000000000004</v>
      </c>
      <c r="BX140" s="149"/>
      <c r="BY140" s="32">
        <f t="shared" si="123"/>
        <v>0</v>
      </c>
      <c r="BZ140" s="22" t="s">
        <v>157</v>
      </c>
      <c r="CA140" s="231">
        <f>VLOOKUP(I140,'Job Codes'!$B$2:$J$120,9,FALSE)</f>
        <v>0.1</v>
      </c>
      <c r="CB140" s="253">
        <f t="shared" si="124"/>
        <v>3565.1000000000004</v>
      </c>
      <c r="CC140" s="72"/>
      <c r="CD140" s="25" t="str">
        <f t="shared" si="125"/>
        <v>Exceeds</v>
      </c>
      <c r="CE140" s="27"/>
      <c r="CF140" s="27"/>
      <c r="CG140" s="27"/>
      <c r="CH140" s="27"/>
      <c r="CI140" s="27"/>
      <c r="CJ140" s="3">
        <v>29271</v>
      </c>
      <c r="CK140" s="3" t="s">
        <v>255</v>
      </c>
      <c r="CL140" s="3">
        <v>4569</v>
      </c>
      <c r="CM140" s="3" t="s">
        <v>161</v>
      </c>
      <c r="CN140" s="3">
        <v>4571</v>
      </c>
      <c r="CO140" s="3" t="s">
        <v>162</v>
      </c>
      <c r="CP140" s="3">
        <v>12345</v>
      </c>
      <c r="CQ140" s="3" t="s">
        <v>163</v>
      </c>
      <c r="CR140" s="246" t="s">
        <v>164</v>
      </c>
      <c r="CS140" s="5" t="s">
        <v>165</v>
      </c>
      <c r="CT140" s="246" t="s">
        <v>256</v>
      </c>
      <c r="CU140" s="247" t="s">
        <v>257</v>
      </c>
      <c r="CV140" s="3" t="str">
        <f t="shared" si="126"/>
        <v>67890;86672</v>
      </c>
      <c r="CW140" s="3" t="s">
        <v>168</v>
      </c>
      <c r="CX140" s="3" t="str">
        <f t="shared" si="127"/>
        <v>;;BB140:BD140;;</v>
      </c>
      <c r="CY140" s="5" t="str">
        <f t="shared" si="128"/>
        <v>Unlock</v>
      </c>
      <c r="CZ140" s="5" t="str">
        <f t="shared" si="129"/>
        <v>Lock</v>
      </c>
      <c r="DA140" s="5" t="str">
        <f t="shared" si="130"/>
        <v>Lock</v>
      </c>
      <c r="DB140" s="5" t="str">
        <f t="shared" si="131"/>
        <v>Lock</v>
      </c>
      <c r="DC140" s="5" t="str">
        <f t="shared" si="132"/>
        <v>Lock</v>
      </c>
      <c r="DD140" s="78">
        <f t="shared" si="133"/>
        <v>2</v>
      </c>
      <c r="DE140" s="2"/>
      <c r="DF140" s="2"/>
      <c r="DG140" s="2"/>
      <c r="DH140" s="2"/>
      <c r="DI140" s="2"/>
      <c r="DJ140" s="2"/>
      <c r="DK140" s="5"/>
      <c r="DL140" s="2"/>
      <c r="DM140" s="2"/>
      <c r="DN140" s="2"/>
      <c r="DO140" s="2"/>
      <c r="DP140" s="2"/>
      <c r="DQ140" s="2"/>
      <c r="DR140" s="2"/>
      <c r="DS140" s="2"/>
      <c r="DT140" s="2"/>
      <c r="DU140" s="2"/>
      <c r="DV140" s="2"/>
      <c r="DW140" s="2"/>
      <c r="DX140" s="2"/>
      <c r="DY140" s="2"/>
      <c r="DZ140" s="2"/>
      <c r="EA140" s="2"/>
      <c r="EB140" s="2"/>
      <c r="EC140" s="2"/>
      <c r="ED140" s="2"/>
      <c r="EE140" s="2"/>
      <c r="EF140" s="1"/>
      <c r="EG140" s="98"/>
      <c r="EH140" s="98"/>
      <c r="EI140" s="1"/>
      <c r="EJ140" s="1"/>
      <c r="EK140" s="98"/>
      <c r="EL140" s="1"/>
    </row>
    <row r="141" spans="1:142">
      <c r="A141" s="32">
        <f t="shared" si="92"/>
        <v>9293</v>
      </c>
      <c r="B141" s="3" t="str">
        <f t="shared" si="93"/>
        <v>sv_statement//Statement//Export Statement&amp;PDFID=Deborah Chou_9293&amp;SO=Y</v>
      </c>
      <c r="C141" s="5" t="str">
        <f t="shared" si="134"/>
        <v>Statement</v>
      </c>
      <c r="D141" s="5" t="str">
        <f t="shared" si="94"/>
        <v>Deborah Chou_9293</v>
      </c>
      <c r="E141" s="5"/>
      <c r="F141" s="5">
        <v>9293</v>
      </c>
      <c r="G141" s="22" t="s">
        <v>435</v>
      </c>
      <c r="H141" s="5" t="s">
        <v>367</v>
      </c>
      <c r="I141" s="5" t="s">
        <v>436</v>
      </c>
      <c r="J141" s="5" t="s">
        <v>252</v>
      </c>
      <c r="K141" s="5" t="s">
        <v>319</v>
      </c>
      <c r="L141" s="31">
        <f t="shared" si="95"/>
        <v>29331</v>
      </c>
      <c r="M141" s="5" t="s">
        <v>320</v>
      </c>
      <c r="N141" s="22" t="s">
        <v>155</v>
      </c>
      <c r="O141" s="100">
        <v>38174</v>
      </c>
      <c r="P141" s="146">
        <f>VLOOKUP(I141,'Job Codes'!$B$2:$I$120,4,FALSE)</f>
        <v>33000</v>
      </c>
      <c r="Q141" s="146">
        <f>VLOOKUP(I141,'Job Codes'!$B$2:$I$120,5,FALSE)</f>
        <v>42900</v>
      </c>
      <c r="R141" s="146">
        <f>VLOOKUP(I141,'Job Codes'!$B$2:$I$120,6,FALSE)</f>
        <v>51480</v>
      </c>
      <c r="S141" s="22" t="s">
        <v>171</v>
      </c>
      <c r="T141" s="146">
        <v>28704</v>
      </c>
      <c r="U141" s="8">
        <f>VLOOKUP(S141,Data!$H$22:$I$25,2,FALSE)*T141</f>
        <v>28704</v>
      </c>
      <c r="V141" s="180">
        <f t="shared" si="96"/>
        <v>0.66909090909090907</v>
      </c>
      <c r="W141" s="180">
        <f t="shared" si="97"/>
        <v>0.49456521739130432</v>
      </c>
      <c r="X141" s="22" t="str">
        <f t="shared" si="98"/>
        <v>Yes</v>
      </c>
      <c r="Y141" s="180">
        <f t="shared" si="99"/>
        <v>0.02</v>
      </c>
      <c r="Z141" s="146">
        <f t="shared" si="100"/>
        <v>574.08000000000004</v>
      </c>
      <c r="AA141" s="146">
        <f t="shared" si="101"/>
        <v>574.08000000000004</v>
      </c>
      <c r="AB141" s="72"/>
      <c r="AC141" s="146">
        <f>AB141/VLOOKUP(S141,Data!$H$22:$I$25,2,FALSE)</f>
        <v>0</v>
      </c>
      <c r="AD141" s="22" t="s">
        <v>157</v>
      </c>
      <c r="AE141" s="146">
        <f>VLOOKUP(S141,Data!$H$22:$J$25,3,FALSE)*T141</f>
        <v>861.12</v>
      </c>
      <c r="AF141" s="8">
        <f>VLOOKUP(S141,Data!$H$22:$I$25,2,FALSE)*AE141</f>
        <v>861.12</v>
      </c>
      <c r="AG141" s="8" t="s">
        <v>178</v>
      </c>
      <c r="AH141" s="23">
        <v>0.02</v>
      </c>
      <c r="AI141" s="72"/>
      <c r="AJ141" s="159">
        <f t="shared" si="102"/>
        <v>0.02</v>
      </c>
      <c r="AK141" s="168">
        <f t="shared" si="135"/>
        <v>574.08000000000004</v>
      </c>
      <c r="AL141" s="160">
        <f t="shared" si="136"/>
        <v>574.08000000000004</v>
      </c>
      <c r="AM141" s="168">
        <f t="shared" si="103"/>
        <v>29278.080000000002</v>
      </c>
      <c r="AN141" s="160">
        <f t="shared" si="104"/>
        <v>29278.080000000002</v>
      </c>
      <c r="AO141" s="160" t="str">
        <f t="shared" si="137"/>
        <v>No</v>
      </c>
      <c r="AP141" s="146">
        <f>IF(AQ141=0,0,AQ141/VLOOKUP(S141,Data!$H$22:$I$25,2,FALSE))</f>
        <v>0</v>
      </c>
      <c r="AQ141" s="183">
        <f t="shared" si="105"/>
        <v>0</v>
      </c>
      <c r="AR141" s="165">
        <f t="shared" si="106"/>
        <v>574.08000000000004</v>
      </c>
      <c r="AS141" s="183">
        <f t="shared" si="107"/>
        <v>574.08000000000004</v>
      </c>
      <c r="AT141" s="250">
        <f t="shared" si="108"/>
        <v>0.02</v>
      </c>
      <c r="AU141" s="146">
        <f t="shared" si="109"/>
        <v>29278.080000000002</v>
      </c>
      <c r="AV141" s="8">
        <f t="shared" si="110"/>
        <v>29278.080000000002</v>
      </c>
      <c r="AW141" s="8" t="str">
        <f t="shared" si="111"/>
        <v/>
      </c>
      <c r="AX141" s="180">
        <f t="shared" si="112"/>
        <v>0.68247272727272734</v>
      </c>
      <c r="AY141" s="146">
        <f t="shared" si="113"/>
        <v>0</v>
      </c>
      <c r="AZ141" s="146">
        <f t="shared" si="114"/>
        <v>0</v>
      </c>
      <c r="BA141" s="22" t="s">
        <v>159</v>
      </c>
      <c r="BB141" s="149"/>
      <c r="BC141" s="149"/>
      <c r="BD141" s="144"/>
      <c r="BE141" s="146" t="str">
        <f t="shared" si="115"/>
        <v/>
      </c>
      <c r="BF141" s="8" t="str">
        <f t="shared" si="116"/>
        <v/>
      </c>
      <c r="BG141" s="8" t="str">
        <f>IF(LEN(BC141)&gt;0,VLOOKUP(BC141,'Job Codes'!B134:I252,7,FALSE),"")</f>
        <v/>
      </c>
      <c r="BH141" s="192" t="str">
        <f>IF(LEN(BC141)&gt;0,VLOOKUP(BC141,'Job Codes'!B134:I252,8,FALSE),"")</f>
        <v/>
      </c>
      <c r="BI141" s="192" t="str">
        <f>IF(LEN(BC141)&gt;0,VLOOKUP(BC141,'Job Codes'!$B$2:$J$120,9,FALSE),"")</f>
        <v/>
      </c>
      <c r="BJ141" s="146" t="str">
        <f>IF(LEN(BC141)&gt;0,VLOOKUP(BC141,'Job Codes'!$B$2:$I$120,4,FALSE),"")</f>
        <v/>
      </c>
      <c r="BK141" s="146" t="str">
        <f>IF(LEN(BC141)&gt;0,VLOOKUP(BC141,'Job Codes'!$B$2:$I$120,5,FALSE),"")</f>
        <v/>
      </c>
      <c r="BL141" s="146" t="str">
        <f>IF(LEN(BC141)&gt;0,VLOOKUP(BC141,'Job Codes'!$B$2:$I$120,6,FALSE),"")</f>
        <v/>
      </c>
      <c r="BM141" s="168">
        <f t="shared" si="117"/>
        <v>29278.080000000002</v>
      </c>
      <c r="BN141" s="160">
        <f t="shared" si="118"/>
        <v>29278.080000000002</v>
      </c>
      <c r="BO141" s="22" t="s">
        <v>157</v>
      </c>
      <c r="BP141" s="157">
        <f>VLOOKUP(I141,'Job Codes'!$B$2:$I$120,8,FALSE)</f>
        <v>0.1</v>
      </c>
      <c r="BQ141" s="25" t="str">
        <f>IF(O141&gt;Data!$H$33,"Yes","No")</f>
        <v>No</v>
      </c>
      <c r="BR141" s="191">
        <v>0.1</v>
      </c>
      <c r="BS141" s="150">
        <f t="shared" si="119"/>
        <v>2870.4</v>
      </c>
      <c r="BT141" s="25">
        <f t="shared" si="120"/>
        <v>2870.4</v>
      </c>
      <c r="BU141" s="161">
        <v>1</v>
      </c>
      <c r="BV141" s="168">
        <f t="shared" si="121"/>
        <v>2870.4</v>
      </c>
      <c r="BW141" s="160">
        <f t="shared" si="122"/>
        <v>2870.4</v>
      </c>
      <c r="BX141" s="149"/>
      <c r="BY141" s="32">
        <f t="shared" si="123"/>
        <v>0</v>
      </c>
      <c r="BZ141" s="22" t="s">
        <v>157</v>
      </c>
      <c r="CA141" s="231">
        <f>VLOOKUP(I141,'Job Codes'!$B$2:$J$120,9,FALSE)</f>
        <v>0.1</v>
      </c>
      <c r="CB141" s="253">
        <f t="shared" si="124"/>
        <v>2870.4</v>
      </c>
      <c r="CC141" s="72"/>
      <c r="CD141" s="25" t="str">
        <f t="shared" si="125"/>
        <v>Meets</v>
      </c>
      <c r="CE141" s="27"/>
      <c r="CF141" s="27"/>
      <c r="CG141" s="27"/>
      <c r="CH141" s="27"/>
      <c r="CI141" s="27"/>
      <c r="CJ141" s="3">
        <v>29271</v>
      </c>
      <c r="CK141" s="3" t="s">
        <v>255</v>
      </c>
      <c r="CL141" s="3">
        <v>4569</v>
      </c>
      <c r="CM141" s="3" t="s">
        <v>161</v>
      </c>
      <c r="CN141" s="3">
        <v>4571</v>
      </c>
      <c r="CO141" s="3" t="s">
        <v>162</v>
      </c>
      <c r="CP141" s="3">
        <v>12345</v>
      </c>
      <c r="CQ141" s="3" t="s">
        <v>163</v>
      </c>
      <c r="CR141" s="246" t="s">
        <v>164</v>
      </c>
      <c r="CS141" s="5" t="s">
        <v>165</v>
      </c>
      <c r="CT141" s="246" t="s">
        <v>256</v>
      </c>
      <c r="CU141" s="247" t="s">
        <v>257</v>
      </c>
      <c r="CV141" s="3" t="str">
        <f t="shared" si="126"/>
        <v>67890;86672</v>
      </c>
      <c r="CW141" s="3" t="s">
        <v>168</v>
      </c>
      <c r="CX141" s="3" t="str">
        <f t="shared" si="127"/>
        <v>;;BB141:BD141;;</v>
      </c>
      <c r="CY141" s="5" t="str">
        <f t="shared" si="128"/>
        <v>Unlock</v>
      </c>
      <c r="CZ141" s="5" t="str">
        <f t="shared" si="129"/>
        <v>Lock</v>
      </c>
      <c r="DA141" s="5" t="str">
        <f t="shared" si="130"/>
        <v>Lock</v>
      </c>
      <c r="DB141" s="5" t="str">
        <f t="shared" si="131"/>
        <v>Lock</v>
      </c>
      <c r="DC141" s="5" t="str">
        <f t="shared" si="132"/>
        <v>Lock</v>
      </c>
      <c r="DD141" s="78">
        <f t="shared" si="133"/>
        <v>2</v>
      </c>
      <c r="DE141" s="2"/>
      <c r="DF141" s="2"/>
      <c r="DG141" s="2"/>
      <c r="DH141" s="2"/>
      <c r="DI141" s="2"/>
      <c r="DJ141" s="2"/>
      <c r="DK141" s="5"/>
      <c r="DL141" s="2"/>
      <c r="DM141" s="2"/>
      <c r="DN141" s="2"/>
      <c r="DO141" s="2"/>
      <c r="DP141" s="2"/>
      <c r="DQ141" s="2"/>
      <c r="DR141" s="2"/>
      <c r="DS141" s="2"/>
      <c r="DT141" s="2"/>
      <c r="DU141" s="2"/>
      <c r="DV141" s="2"/>
      <c r="DW141" s="2"/>
      <c r="DX141" s="2"/>
      <c r="DY141" s="2"/>
      <c r="DZ141" s="2"/>
      <c r="EA141" s="2"/>
      <c r="EB141" s="2"/>
      <c r="EC141" s="2"/>
      <c r="ED141" s="2"/>
      <c r="EE141" s="2"/>
      <c r="EF141" s="1"/>
      <c r="EG141" s="98"/>
      <c r="EH141" s="98"/>
      <c r="EI141" s="1"/>
      <c r="EJ141" s="1"/>
      <c r="EK141" s="98"/>
      <c r="EL141" s="1"/>
    </row>
    <row r="142" spans="1:142">
      <c r="A142" s="32">
        <f t="shared" si="92"/>
        <v>9314</v>
      </c>
      <c r="B142" s="3" t="str">
        <f t="shared" si="93"/>
        <v>sv_statement//Statement//Export Statement&amp;PDFID=Billy Klink_9314&amp;SO=Y</v>
      </c>
      <c r="C142" s="5" t="str">
        <f t="shared" si="134"/>
        <v>Statement</v>
      </c>
      <c r="D142" s="5" t="str">
        <f t="shared" si="94"/>
        <v>Billy Klink_9314</v>
      </c>
      <c r="E142" s="5"/>
      <c r="F142" s="5">
        <v>9314</v>
      </c>
      <c r="G142" s="22" t="s">
        <v>437</v>
      </c>
      <c r="H142" s="5" t="s">
        <v>367</v>
      </c>
      <c r="I142" s="5" t="s">
        <v>438</v>
      </c>
      <c r="J142" s="5" t="s">
        <v>252</v>
      </c>
      <c r="K142" s="5" t="s">
        <v>319</v>
      </c>
      <c r="L142" s="31">
        <f t="shared" si="95"/>
        <v>29331</v>
      </c>
      <c r="M142" s="5" t="s">
        <v>320</v>
      </c>
      <c r="N142" s="22" t="s">
        <v>155</v>
      </c>
      <c r="O142" s="100">
        <v>38182</v>
      </c>
      <c r="P142" s="146">
        <f>VLOOKUP(I142,'Job Codes'!$B$2:$I$120,4,FALSE)</f>
        <v>33000</v>
      </c>
      <c r="Q142" s="146">
        <f>VLOOKUP(I142,'Job Codes'!$B$2:$I$120,5,FALSE)</f>
        <v>42900</v>
      </c>
      <c r="R142" s="146">
        <f>VLOOKUP(I142,'Job Codes'!$B$2:$I$120,6,FALSE)</f>
        <v>51480</v>
      </c>
      <c r="S142" s="22" t="s">
        <v>171</v>
      </c>
      <c r="T142" s="146">
        <v>27789</v>
      </c>
      <c r="U142" s="8">
        <f>VLOOKUP(S142,Data!$H$22:$I$25,2,FALSE)*T142</f>
        <v>27789</v>
      </c>
      <c r="V142" s="180">
        <f t="shared" si="96"/>
        <v>0.64776223776223774</v>
      </c>
      <c r="W142" s="180">
        <f t="shared" si="97"/>
        <v>0.54377631436899487</v>
      </c>
      <c r="X142" s="22" t="str">
        <f t="shared" si="98"/>
        <v>Yes</v>
      </c>
      <c r="Y142" s="180">
        <f t="shared" si="99"/>
        <v>0.02</v>
      </c>
      <c r="Z142" s="146">
        <f t="shared" si="100"/>
        <v>555.78</v>
      </c>
      <c r="AA142" s="146">
        <f t="shared" si="101"/>
        <v>555.78</v>
      </c>
      <c r="AB142" s="72"/>
      <c r="AC142" s="146">
        <f>AB142/VLOOKUP(S142,Data!$H$22:$I$25,2,FALSE)</f>
        <v>0</v>
      </c>
      <c r="AD142" s="22" t="s">
        <v>157</v>
      </c>
      <c r="AE142" s="146">
        <f>VLOOKUP(S142,Data!$H$22:$J$25,3,FALSE)*T142</f>
        <v>833.67</v>
      </c>
      <c r="AF142" s="8">
        <f>VLOOKUP(S142,Data!$H$22:$I$25,2,FALSE)*AE142</f>
        <v>833.67</v>
      </c>
      <c r="AG142" s="8" t="s">
        <v>172</v>
      </c>
      <c r="AH142" s="23">
        <v>0</v>
      </c>
      <c r="AI142" s="72"/>
      <c r="AJ142" s="159">
        <f t="shared" si="102"/>
        <v>0</v>
      </c>
      <c r="AK142" s="168">
        <f t="shared" si="135"/>
        <v>0</v>
      </c>
      <c r="AL142" s="160">
        <f t="shared" si="136"/>
        <v>0</v>
      </c>
      <c r="AM142" s="168">
        <f t="shared" si="103"/>
        <v>27789</v>
      </c>
      <c r="AN142" s="160">
        <f t="shared" si="104"/>
        <v>27789</v>
      </c>
      <c r="AO142" s="160" t="str">
        <f t="shared" si="137"/>
        <v>No</v>
      </c>
      <c r="AP142" s="146">
        <f>IF(AQ142=0,0,AQ142/VLOOKUP(S142,Data!$H$22:$I$25,2,FALSE))</f>
        <v>0</v>
      </c>
      <c r="AQ142" s="183">
        <f t="shared" si="105"/>
        <v>0</v>
      </c>
      <c r="AR142" s="165">
        <f t="shared" si="106"/>
        <v>0</v>
      </c>
      <c r="AS142" s="183">
        <f t="shared" si="107"/>
        <v>0</v>
      </c>
      <c r="AT142" s="250">
        <f t="shared" si="108"/>
        <v>0</v>
      </c>
      <c r="AU142" s="146">
        <f t="shared" si="109"/>
        <v>27789</v>
      </c>
      <c r="AV142" s="8">
        <f t="shared" si="110"/>
        <v>27789</v>
      </c>
      <c r="AW142" s="8" t="str">
        <f t="shared" si="111"/>
        <v/>
      </c>
      <c r="AX142" s="180">
        <f t="shared" si="112"/>
        <v>0.64776223776223774</v>
      </c>
      <c r="AY142" s="146">
        <f t="shared" si="113"/>
        <v>0</v>
      </c>
      <c r="AZ142" s="146">
        <f t="shared" si="114"/>
        <v>0</v>
      </c>
      <c r="BA142" s="22" t="s">
        <v>159</v>
      </c>
      <c r="BB142" s="149"/>
      <c r="BC142" s="149"/>
      <c r="BD142" s="144"/>
      <c r="BE142" s="146" t="str">
        <f t="shared" si="115"/>
        <v/>
      </c>
      <c r="BF142" s="8" t="str">
        <f t="shared" si="116"/>
        <v/>
      </c>
      <c r="BG142" s="8" t="str">
        <f>IF(LEN(BC142)&gt;0,VLOOKUP(BC142,'Job Codes'!B135:I253,7,FALSE),"")</f>
        <v/>
      </c>
      <c r="BH142" s="192" t="str">
        <f>IF(LEN(BC142)&gt;0,VLOOKUP(BC142,'Job Codes'!B135:I253,8,FALSE),"")</f>
        <v/>
      </c>
      <c r="BI142" s="192" t="str">
        <f>IF(LEN(BC142)&gt;0,VLOOKUP(BC142,'Job Codes'!$B$2:$J$120,9,FALSE),"")</f>
        <v/>
      </c>
      <c r="BJ142" s="146" t="str">
        <f>IF(LEN(BC142)&gt;0,VLOOKUP(BC142,'Job Codes'!$B$2:$I$120,4,FALSE),"")</f>
        <v/>
      </c>
      <c r="BK142" s="146" t="str">
        <f>IF(LEN(BC142)&gt;0,VLOOKUP(BC142,'Job Codes'!$B$2:$I$120,5,FALSE),"")</f>
        <v/>
      </c>
      <c r="BL142" s="146" t="str">
        <f>IF(LEN(BC142)&gt;0,VLOOKUP(BC142,'Job Codes'!$B$2:$I$120,6,FALSE),"")</f>
        <v/>
      </c>
      <c r="BM142" s="168">
        <f t="shared" si="117"/>
        <v>27789</v>
      </c>
      <c r="BN142" s="160">
        <f t="shared" si="118"/>
        <v>27789</v>
      </c>
      <c r="BO142" s="22" t="s">
        <v>157</v>
      </c>
      <c r="BP142" s="157">
        <f>VLOOKUP(I142,'Job Codes'!$B$2:$I$120,8,FALSE)</f>
        <v>0.1</v>
      </c>
      <c r="BQ142" s="25" t="str">
        <f>IF(O142&gt;Data!$H$33,"Yes","No")</f>
        <v>No</v>
      </c>
      <c r="BR142" s="191">
        <v>0.1</v>
      </c>
      <c r="BS142" s="150">
        <f t="shared" si="119"/>
        <v>2778.9</v>
      </c>
      <c r="BT142" s="25">
        <f t="shared" si="120"/>
        <v>2778.9</v>
      </c>
      <c r="BU142" s="161">
        <v>1</v>
      </c>
      <c r="BV142" s="168">
        <f t="shared" si="121"/>
        <v>2778.9</v>
      </c>
      <c r="BW142" s="160">
        <f t="shared" si="122"/>
        <v>2778.9</v>
      </c>
      <c r="BX142" s="149"/>
      <c r="BY142" s="32">
        <f t="shared" si="123"/>
        <v>0</v>
      </c>
      <c r="BZ142" s="22" t="s">
        <v>157</v>
      </c>
      <c r="CA142" s="231">
        <f>VLOOKUP(I142,'Job Codes'!$B$2:$J$120,9,FALSE)</f>
        <v>0.1</v>
      </c>
      <c r="CB142" s="253">
        <f t="shared" si="124"/>
        <v>2778.9</v>
      </c>
      <c r="CC142" s="72"/>
      <c r="CD142" s="25" t="str">
        <f t="shared" si="125"/>
        <v>Below</v>
      </c>
      <c r="CE142" s="27"/>
      <c r="CF142" s="27"/>
      <c r="CG142" s="27"/>
      <c r="CH142" s="27"/>
      <c r="CI142" s="27"/>
      <c r="CJ142" s="3">
        <v>29271</v>
      </c>
      <c r="CK142" s="3" t="s">
        <v>255</v>
      </c>
      <c r="CL142" s="3">
        <v>4569</v>
      </c>
      <c r="CM142" s="3" t="s">
        <v>161</v>
      </c>
      <c r="CN142" s="3">
        <v>4571</v>
      </c>
      <c r="CO142" s="3" t="s">
        <v>162</v>
      </c>
      <c r="CP142" s="3">
        <v>12345</v>
      </c>
      <c r="CQ142" s="3" t="s">
        <v>163</v>
      </c>
      <c r="CR142" s="246" t="s">
        <v>164</v>
      </c>
      <c r="CS142" s="5" t="s">
        <v>165</v>
      </c>
      <c r="CT142" s="246" t="s">
        <v>256</v>
      </c>
      <c r="CU142" s="247" t="s">
        <v>257</v>
      </c>
      <c r="CV142" s="3" t="str">
        <f t="shared" si="126"/>
        <v>67890;86672</v>
      </c>
      <c r="CW142" s="3" t="s">
        <v>168</v>
      </c>
      <c r="CX142" s="3" t="str">
        <f t="shared" si="127"/>
        <v>;;BB142:BD142;;</v>
      </c>
      <c r="CY142" s="5" t="str">
        <f t="shared" si="128"/>
        <v>Unlock</v>
      </c>
      <c r="CZ142" s="5" t="str">
        <f t="shared" si="129"/>
        <v>Lock</v>
      </c>
      <c r="DA142" s="5" t="str">
        <f t="shared" si="130"/>
        <v>Lock</v>
      </c>
      <c r="DB142" s="5" t="str">
        <f t="shared" si="131"/>
        <v>Lock</v>
      </c>
      <c r="DC142" s="5" t="str">
        <f t="shared" si="132"/>
        <v>Lock</v>
      </c>
      <c r="DD142" s="78">
        <f t="shared" si="133"/>
        <v>2</v>
      </c>
      <c r="DE142" s="2"/>
      <c r="DF142" s="2"/>
      <c r="DG142" s="2"/>
      <c r="DH142" s="2"/>
      <c r="DI142" s="2"/>
      <c r="DJ142" s="2"/>
      <c r="DK142" s="5"/>
      <c r="DL142" s="2"/>
      <c r="DM142" s="2"/>
      <c r="DN142" s="2"/>
      <c r="DO142" s="2"/>
      <c r="DP142" s="2"/>
      <c r="DQ142" s="2"/>
      <c r="DR142" s="2"/>
      <c r="DS142" s="2"/>
      <c r="DT142" s="2"/>
      <c r="DU142" s="2"/>
      <c r="DV142" s="2"/>
      <c r="DW142" s="2"/>
      <c r="DX142" s="2"/>
      <c r="DY142" s="2"/>
      <c r="DZ142" s="2"/>
      <c r="EA142" s="2"/>
      <c r="EB142" s="2"/>
      <c r="EC142" s="2"/>
      <c r="ED142" s="2"/>
      <c r="EE142" s="2"/>
      <c r="EF142" s="1"/>
      <c r="EG142" s="98"/>
      <c r="EH142" s="98"/>
      <c r="EI142" s="1"/>
      <c r="EJ142" s="1"/>
      <c r="EK142" s="98"/>
      <c r="EL142" s="1"/>
    </row>
    <row r="143" spans="1:142">
      <c r="A143" s="32">
        <f t="shared" si="92"/>
        <v>9328</v>
      </c>
      <c r="B143" s="3" t="str">
        <f t="shared" si="93"/>
        <v>sv_statement//Statement//Export Statement&amp;PDFID=Luis Chung_9328&amp;SO=Y</v>
      </c>
      <c r="C143" s="5" t="str">
        <f t="shared" si="134"/>
        <v>Statement</v>
      </c>
      <c r="D143" s="5" t="str">
        <f t="shared" si="94"/>
        <v>Luis Chung_9328</v>
      </c>
      <c r="E143" s="5"/>
      <c r="F143" s="5">
        <v>9328</v>
      </c>
      <c r="G143" s="22" t="s">
        <v>439</v>
      </c>
      <c r="H143" s="5" t="s">
        <v>367</v>
      </c>
      <c r="I143" s="5" t="s">
        <v>440</v>
      </c>
      <c r="J143" s="5" t="s">
        <v>252</v>
      </c>
      <c r="K143" s="5" t="s">
        <v>319</v>
      </c>
      <c r="L143" s="31">
        <f t="shared" si="95"/>
        <v>29331</v>
      </c>
      <c r="M143" s="5" t="s">
        <v>320</v>
      </c>
      <c r="N143" s="22" t="s">
        <v>155</v>
      </c>
      <c r="O143" s="100">
        <v>38187</v>
      </c>
      <c r="P143" s="146">
        <f>VLOOKUP(I143,'Job Codes'!$B$2:$I$120,4,FALSE)</f>
        <v>33000</v>
      </c>
      <c r="Q143" s="146">
        <f>VLOOKUP(I143,'Job Codes'!$B$2:$I$120,5,FALSE)</f>
        <v>42900</v>
      </c>
      <c r="R143" s="146">
        <f>VLOOKUP(I143,'Job Codes'!$B$2:$I$120,6,FALSE)</f>
        <v>51480</v>
      </c>
      <c r="S143" s="22" t="s">
        <v>171</v>
      </c>
      <c r="T143" s="146">
        <v>29432</v>
      </c>
      <c r="U143" s="8">
        <f>VLOOKUP(S143,Data!$H$22:$I$25,2,FALSE)*T143</f>
        <v>29432</v>
      </c>
      <c r="V143" s="180">
        <f t="shared" si="96"/>
        <v>0.68606060606060604</v>
      </c>
      <c r="W143" s="180">
        <f t="shared" si="97"/>
        <v>0.4575971731448763</v>
      </c>
      <c r="X143" s="22" t="str">
        <f t="shared" si="98"/>
        <v>Yes</v>
      </c>
      <c r="Y143" s="180">
        <f t="shared" si="99"/>
        <v>0.02</v>
      </c>
      <c r="Z143" s="146">
        <f t="shared" si="100"/>
        <v>588.64</v>
      </c>
      <c r="AA143" s="146">
        <f t="shared" si="101"/>
        <v>588.64</v>
      </c>
      <c r="AB143" s="72"/>
      <c r="AC143" s="146">
        <f>AB143/VLOOKUP(S143,Data!$H$22:$I$25,2,FALSE)</f>
        <v>0</v>
      </c>
      <c r="AD143" s="22" t="s">
        <v>157</v>
      </c>
      <c r="AE143" s="146">
        <f>VLOOKUP(S143,Data!$H$22:$J$25,3,FALSE)*T143</f>
        <v>882.95999999999992</v>
      </c>
      <c r="AF143" s="8">
        <f>VLOOKUP(S143,Data!$H$22:$I$25,2,FALSE)*AE143</f>
        <v>882.95999999999992</v>
      </c>
      <c r="AG143" s="8" t="s">
        <v>178</v>
      </c>
      <c r="AH143" s="23">
        <v>0.02</v>
      </c>
      <c r="AI143" s="72"/>
      <c r="AJ143" s="159">
        <f t="shared" si="102"/>
        <v>0.02</v>
      </c>
      <c r="AK143" s="168">
        <f t="shared" si="135"/>
        <v>588.64</v>
      </c>
      <c r="AL143" s="160">
        <f t="shared" si="136"/>
        <v>588.64</v>
      </c>
      <c r="AM143" s="168">
        <f t="shared" si="103"/>
        <v>30020.639999999999</v>
      </c>
      <c r="AN143" s="160">
        <f t="shared" si="104"/>
        <v>30020.639999999999</v>
      </c>
      <c r="AO143" s="160" t="str">
        <f t="shared" si="137"/>
        <v>No</v>
      </c>
      <c r="AP143" s="146">
        <f>IF(AQ143=0,0,AQ143/VLOOKUP(S143,Data!$H$22:$I$25,2,FALSE))</f>
        <v>0</v>
      </c>
      <c r="AQ143" s="183">
        <f t="shared" si="105"/>
        <v>0</v>
      </c>
      <c r="AR143" s="165">
        <f t="shared" si="106"/>
        <v>588.64</v>
      </c>
      <c r="AS143" s="183">
        <f t="shared" si="107"/>
        <v>588.64</v>
      </c>
      <c r="AT143" s="250">
        <f t="shared" si="108"/>
        <v>0.02</v>
      </c>
      <c r="AU143" s="146">
        <f t="shared" si="109"/>
        <v>30020.639999999999</v>
      </c>
      <c r="AV143" s="8">
        <f t="shared" si="110"/>
        <v>30020.639999999999</v>
      </c>
      <c r="AW143" s="8" t="str">
        <f t="shared" si="111"/>
        <v/>
      </c>
      <c r="AX143" s="180">
        <f t="shared" si="112"/>
        <v>0.69978181818181817</v>
      </c>
      <c r="AY143" s="146">
        <f t="shared" si="113"/>
        <v>0</v>
      </c>
      <c r="AZ143" s="146">
        <f t="shared" si="114"/>
        <v>0</v>
      </c>
      <c r="BA143" s="22" t="s">
        <v>159</v>
      </c>
      <c r="BB143" s="149"/>
      <c r="BC143" s="149"/>
      <c r="BD143" s="144"/>
      <c r="BE143" s="146" t="str">
        <f t="shared" si="115"/>
        <v/>
      </c>
      <c r="BF143" s="8" t="str">
        <f t="shared" si="116"/>
        <v/>
      </c>
      <c r="BG143" s="8" t="str">
        <f>IF(LEN(BC143)&gt;0,VLOOKUP(BC143,'Job Codes'!B136:I254,7,FALSE),"")</f>
        <v/>
      </c>
      <c r="BH143" s="192" t="str">
        <f>IF(LEN(BC143)&gt;0,VLOOKUP(BC143,'Job Codes'!B136:I254,8,FALSE),"")</f>
        <v/>
      </c>
      <c r="BI143" s="192" t="str">
        <f>IF(LEN(BC143)&gt;0,VLOOKUP(BC143,'Job Codes'!$B$2:$J$120,9,FALSE),"")</f>
        <v/>
      </c>
      <c r="BJ143" s="146" t="str">
        <f>IF(LEN(BC143)&gt;0,VLOOKUP(BC143,'Job Codes'!$B$2:$I$120,4,FALSE),"")</f>
        <v/>
      </c>
      <c r="BK143" s="146" t="str">
        <f>IF(LEN(BC143)&gt;0,VLOOKUP(BC143,'Job Codes'!$B$2:$I$120,5,FALSE),"")</f>
        <v/>
      </c>
      <c r="BL143" s="146" t="str">
        <f>IF(LEN(BC143)&gt;0,VLOOKUP(BC143,'Job Codes'!$B$2:$I$120,6,FALSE),"")</f>
        <v/>
      </c>
      <c r="BM143" s="168">
        <f t="shared" si="117"/>
        <v>30020.639999999999</v>
      </c>
      <c r="BN143" s="160">
        <f t="shared" si="118"/>
        <v>30020.639999999999</v>
      </c>
      <c r="BO143" s="22" t="s">
        <v>157</v>
      </c>
      <c r="BP143" s="157">
        <f>VLOOKUP(I143,'Job Codes'!$B$2:$I$120,8,FALSE)</f>
        <v>0.1</v>
      </c>
      <c r="BQ143" s="25" t="str">
        <f>IF(O143&gt;Data!$H$33,"Yes","No")</f>
        <v>No</v>
      </c>
      <c r="BR143" s="191">
        <v>0.1</v>
      </c>
      <c r="BS143" s="150">
        <f t="shared" si="119"/>
        <v>2943.2000000000003</v>
      </c>
      <c r="BT143" s="25">
        <f t="shared" si="120"/>
        <v>2943.2000000000003</v>
      </c>
      <c r="BU143" s="161">
        <v>1</v>
      </c>
      <c r="BV143" s="168">
        <f t="shared" si="121"/>
        <v>2943.2000000000003</v>
      </c>
      <c r="BW143" s="160">
        <f t="shared" si="122"/>
        <v>2943.2000000000003</v>
      </c>
      <c r="BX143" s="149"/>
      <c r="BY143" s="32">
        <f t="shared" si="123"/>
        <v>0</v>
      </c>
      <c r="BZ143" s="22" t="s">
        <v>157</v>
      </c>
      <c r="CA143" s="231">
        <f>VLOOKUP(I143,'Job Codes'!$B$2:$J$120,9,FALSE)</f>
        <v>0.1</v>
      </c>
      <c r="CB143" s="253">
        <f t="shared" si="124"/>
        <v>2943.2000000000003</v>
      </c>
      <c r="CC143" s="72"/>
      <c r="CD143" s="25" t="str">
        <f t="shared" si="125"/>
        <v>Meets</v>
      </c>
      <c r="CE143" s="27"/>
      <c r="CF143" s="27"/>
      <c r="CG143" s="27"/>
      <c r="CH143" s="27"/>
      <c r="CI143" s="27"/>
      <c r="CJ143" s="3">
        <v>29271</v>
      </c>
      <c r="CK143" s="3" t="s">
        <v>255</v>
      </c>
      <c r="CL143" s="3">
        <v>4569</v>
      </c>
      <c r="CM143" s="3" t="s">
        <v>161</v>
      </c>
      <c r="CN143" s="3">
        <v>4571</v>
      </c>
      <c r="CO143" s="3" t="s">
        <v>162</v>
      </c>
      <c r="CP143" s="3">
        <v>12345</v>
      </c>
      <c r="CQ143" s="3" t="s">
        <v>163</v>
      </c>
      <c r="CR143" s="246" t="s">
        <v>164</v>
      </c>
      <c r="CS143" s="5" t="s">
        <v>165</v>
      </c>
      <c r="CT143" s="246" t="s">
        <v>256</v>
      </c>
      <c r="CU143" s="247" t="s">
        <v>257</v>
      </c>
      <c r="CV143" s="3" t="str">
        <f t="shared" si="126"/>
        <v>67890;86672</v>
      </c>
      <c r="CW143" s="3" t="s">
        <v>168</v>
      </c>
      <c r="CX143" s="3" t="str">
        <f t="shared" si="127"/>
        <v>;;BB143:BD143;;</v>
      </c>
      <c r="CY143" s="5" t="str">
        <f t="shared" si="128"/>
        <v>Unlock</v>
      </c>
      <c r="CZ143" s="5" t="str">
        <f t="shared" si="129"/>
        <v>Lock</v>
      </c>
      <c r="DA143" s="5" t="str">
        <f t="shared" si="130"/>
        <v>Lock</v>
      </c>
      <c r="DB143" s="5" t="str">
        <f t="shared" si="131"/>
        <v>Lock</v>
      </c>
      <c r="DC143" s="5" t="str">
        <f t="shared" si="132"/>
        <v>Lock</v>
      </c>
      <c r="DD143" s="78">
        <f t="shared" si="133"/>
        <v>2</v>
      </c>
      <c r="DE143" s="2"/>
      <c r="DF143" s="2"/>
      <c r="DG143" s="2"/>
      <c r="DH143" s="2"/>
      <c r="DI143" s="2"/>
      <c r="DJ143" s="2"/>
      <c r="DK143" s="5"/>
      <c r="DL143" s="2"/>
      <c r="DM143" s="2"/>
      <c r="DN143" s="2"/>
      <c r="DO143" s="2"/>
      <c r="DP143" s="2"/>
      <c r="DQ143" s="2"/>
      <c r="DR143" s="2"/>
      <c r="DS143" s="2"/>
      <c r="DT143" s="2"/>
      <c r="DU143" s="2"/>
      <c r="DV143" s="2"/>
      <c r="DW143" s="2"/>
      <c r="DX143" s="2"/>
      <c r="DY143" s="2"/>
      <c r="DZ143" s="2"/>
      <c r="EA143" s="2"/>
      <c r="EB143" s="2"/>
      <c r="EC143" s="2"/>
      <c r="ED143" s="2"/>
      <c r="EE143" s="2"/>
      <c r="EF143" s="1"/>
      <c r="EG143" s="98"/>
      <c r="EH143" s="98"/>
      <c r="EI143" s="1"/>
      <c r="EJ143" s="1"/>
      <c r="EK143" s="98"/>
      <c r="EL143" s="1"/>
    </row>
    <row r="144" spans="1:142">
      <c r="A144" s="32">
        <f t="shared" si="92"/>
        <v>9499</v>
      </c>
      <c r="B144" s="3" t="str">
        <f t="shared" si="93"/>
        <v>sv_statement//Statement//Export Statement&amp;PDFID=Thomas Weigel_9499&amp;SO=Y</v>
      </c>
      <c r="C144" s="5" t="str">
        <f t="shared" si="134"/>
        <v>Statement</v>
      </c>
      <c r="D144" s="5" t="str">
        <f t="shared" si="94"/>
        <v>Thomas Weigel_9499</v>
      </c>
      <c r="E144" s="5"/>
      <c r="F144" s="5">
        <v>9499</v>
      </c>
      <c r="G144" s="22" t="s">
        <v>441</v>
      </c>
      <c r="H144" s="5" t="s">
        <v>367</v>
      </c>
      <c r="I144" s="5" t="s">
        <v>442</v>
      </c>
      <c r="J144" s="5" t="s">
        <v>252</v>
      </c>
      <c r="K144" s="5" t="s">
        <v>333</v>
      </c>
      <c r="L144" s="31">
        <f t="shared" si="95"/>
        <v>29326</v>
      </c>
      <c r="M144" s="5" t="s">
        <v>334</v>
      </c>
      <c r="N144" s="22" t="s">
        <v>155</v>
      </c>
      <c r="O144" s="100">
        <v>38229</v>
      </c>
      <c r="P144" s="146">
        <f>VLOOKUP(I144,'Job Codes'!$B$2:$I$120,4,FALSE)</f>
        <v>33000</v>
      </c>
      <c r="Q144" s="146">
        <f>VLOOKUP(I144,'Job Codes'!$B$2:$I$120,5,FALSE)</f>
        <v>42900</v>
      </c>
      <c r="R144" s="146">
        <f>VLOOKUP(I144,'Job Codes'!$B$2:$I$120,6,FALSE)</f>
        <v>51480</v>
      </c>
      <c r="S144" s="22" t="s">
        <v>171</v>
      </c>
      <c r="T144" s="146">
        <v>33134</v>
      </c>
      <c r="U144" s="8">
        <f>VLOOKUP(S144,Data!$H$22:$I$25,2,FALSE)*T144</f>
        <v>33134</v>
      </c>
      <c r="V144" s="180">
        <f t="shared" si="96"/>
        <v>0.7723543123543124</v>
      </c>
      <c r="W144" s="180">
        <f t="shared" si="97"/>
        <v>0.29474256051186093</v>
      </c>
      <c r="X144" s="22" t="str">
        <f t="shared" si="98"/>
        <v>Yes</v>
      </c>
      <c r="Y144" s="180">
        <f t="shared" si="99"/>
        <v>0.02</v>
      </c>
      <c r="Z144" s="146">
        <f t="shared" si="100"/>
        <v>662.68000000000006</v>
      </c>
      <c r="AA144" s="146">
        <f t="shared" si="101"/>
        <v>662.68000000000006</v>
      </c>
      <c r="AB144" s="72"/>
      <c r="AC144" s="146">
        <f>AB144/VLOOKUP(S144,Data!$H$22:$I$25,2,FALSE)</f>
        <v>0</v>
      </c>
      <c r="AD144" s="22" t="s">
        <v>157</v>
      </c>
      <c r="AE144" s="146">
        <f>VLOOKUP(S144,Data!$H$22:$J$25,3,FALSE)*T144</f>
        <v>994.02</v>
      </c>
      <c r="AF144" s="8">
        <f>VLOOKUP(S144,Data!$H$22:$I$25,2,FALSE)*AE144</f>
        <v>994.02</v>
      </c>
      <c r="AG144" s="8" t="s">
        <v>178</v>
      </c>
      <c r="AH144" s="23">
        <v>2.5000000000000001E-2</v>
      </c>
      <c r="AI144" s="72"/>
      <c r="AJ144" s="159">
        <f t="shared" si="102"/>
        <v>2.5000000000000001E-2</v>
      </c>
      <c r="AK144" s="168">
        <f t="shared" si="135"/>
        <v>828.35</v>
      </c>
      <c r="AL144" s="160">
        <f t="shared" si="136"/>
        <v>828.35</v>
      </c>
      <c r="AM144" s="168">
        <f t="shared" si="103"/>
        <v>33962.35</v>
      </c>
      <c r="AN144" s="160">
        <f t="shared" si="104"/>
        <v>33962.35</v>
      </c>
      <c r="AO144" s="160" t="str">
        <f t="shared" si="137"/>
        <v>No</v>
      </c>
      <c r="AP144" s="146">
        <f>IF(AQ144=0,0,AQ144/VLOOKUP(S144,Data!$H$22:$I$25,2,FALSE))</f>
        <v>0</v>
      </c>
      <c r="AQ144" s="183">
        <f t="shared" si="105"/>
        <v>0</v>
      </c>
      <c r="AR144" s="165">
        <f t="shared" si="106"/>
        <v>828.35</v>
      </c>
      <c r="AS144" s="183">
        <f t="shared" si="107"/>
        <v>828.35</v>
      </c>
      <c r="AT144" s="250">
        <f t="shared" si="108"/>
        <v>2.5000000000000001E-2</v>
      </c>
      <c r="AU144" s="146">
        <f t="shared" si="109"/>
        <v>33962.35</v>
      </c>
      <c r="AV144" s="8">
        <f t="shared" si="110"/>
        <v>33962.35</v>
      </c>
      <c r="AW144" s="8" t="str">
        <f t="shared" si="111"/>
        <v/>
      </c>
      <c r="AX144" s="180">
        <f t="shared" si="112"/>
        <v>0.79166317016317012</v>
      </c>
      <c r="AY144" s="146">
        <f t="shared" si="113"/>
        <v>0</v>
      </c>
      <c r="AZ144" s="146">
        <f t="shared" si="114"/>
        <v>0</v>
      </c>
      <c r="BA144" s="22" t="s">
        <v>159</v>
      </c>
      <c r="BB144" s="149"/>
      <c r="BC144" s="149"/>
      <c r="BD144" s="144"/>
      <c r="BE144" s="146" t="str">
        <f t="shared" si="115"/>
        <v/>
      </c>
      <c r="BF144" s="8" t="str">
        <f t="shared" si="116"/>
        <v/>
      </c>
      <c r="BG144" s="8" t="str">
        <f>IF(LEN(BC144)&gt;0,VLOOKUP(BC144,'Job Codes'!B137:I255,7,FALSE),"")</f>
        <v/>
      </c>
      <c r="BH144" s="192" t="str">
        <f>IF(LEN(BC144)&gt;0,VLOOKUP(BC144,'Job Codes'!B137:I255,8,FALSE),"")</f>
        <v/>
      </c>
      <c r="BI144" s="192" t="str">
        <f>IF(LEN(BC144)&gt;0,VLOOKUP(BC144,'Job Codes'!$B$2:$J$120,9,FALSE),"")</f>
        <v/>
      </c>
      <c r="BJ144" s="146" t="str">
        <f>IF(LEN(BC144)&gt;0,VLOOKUP(BC144,'Job Codes'!$B$2:$I$120,4,FALSE),"")</f>
        <v/>
      </c>
      <c r="BK144" s="146" t="str">
        <f>IF(LEN(BC144)&gt;0,VLOOKUP(BC144,'Job Codes'!$B$2:$I$120,5,FALSE),"")</f>
        <v/>
      </c>
      <c r="BL144" s="146" t="str">
        <f>IF(LEN(BC144)&gt;0,VLOOKUP(BC144,'Job Codes'!$B$2:$I$120,6,FALSE),"")</f>
        <v/>
      </c>
      <c r="BM144" s="168">
        <f t="shared" si="117"/>
        <v>33962.35</v>
      </c>
      <c r="BN144" s="160">
        <f t="shared" si="118"/>
        <v>33962.35</v>
      </c>
      <c r="BO144" s="22" t="s">
        <v>157</v>
      </c>
      <c r="BP144" s="157">
        <f>VLOOKUP(I144,'Job Codes'!$B$2:$I$120,8,FALSE)</f>
        <v>0.1</v>
      </c>
      <c r="BQ144" s="25" t="str">
        <f>IF(O144&gt;Data!$H$33,"Yes","No")</f>
        <v>No</v>
      </c>
      <c r="BR144" s="191">
        <v>0.1</v>
      </c>
      <c r="BS144" s="150">
        <f t="shared" si="119"/>
        <v>3313.4</v>
      </c>
      <c r="BT144" s="25">
        <f t="shared" si="120"/>
        <v>3313.4</v>
      </c>
      <c r="BU144" s="161">
        <v>1</v>
      </c>
      <c r="BV144" s="168">
        <f t="shared" si="121"/>
        <v>3313.4</v>
      </c>
      <c r="BW144" s="160">
        <f t="shared" si="122"/>
        <v>3313.4</v>
      </c>
      <c r="BX144" s="149"/>
      <c r="BY144" s="32">
        <f t="shared" si="123"/>
        <v>0</v>
      </c>
      <c r="BZ144" s="22" t="s">
        <v>157</v>
      </c>
      <c r="CA144" s="231">
        <f>VLOOKUP(I144,'Job Codes'!$B$2:$J$120,9,FALSE)</f>
        <v>0.1</v>
      </c>
      <c r="CB144" s="253">
        <f t="shared" si="124"/>
        <v>3313.4</v>
      </c>
      <c r="CC144" s="72"/>
      <c r="CD144" s="25" t="str">
        <f t="shared" si="125"/>
        <v>Meets</v>
      </c>
      <c r="CE144" s="27"/>
      <c r="CF144" s="27"/>
      <c r="CG144" s="27"/>
      <c r="CH144" s="27"/>
      <c r="CI144" s="27"/>
      <c r="CJ144" s="3">
        <v>29271</v>
      </c>
      <c r="CK144" s="3" t="s">
        <v>255</v>
      </c>
      <c r="CL144" s="3">
        <v>4569</v>
      </c>
      <c r="CM144" s="3" t="s">
        <v>161</v>
      </c>
      <c r="CN144" s="3">
        <v>4571</v>
      </c>
      <c r="CO144" s="3" t="s">
        <v>162</v>
      </c>
      <c r="CP144" s="3">
        <v>12345</v>
      </c>
      <c r="CQ144" s="3" t="s">
        <v>163</v>
      </c>
      <c r="CR144" s="246" t="s">
        <v>164</v>
      </c>
      <c r="CS144" s="5" t="s">
        <v>165</v>
      </c>
      <c r="CT144" s="246" t="s">
        <v>256</v>
      </c>
      <c r="CU144" s="247" t="s">
        <v>257</v>
      </c>
      <c r="CV144" s="3" t="str">
        <f t="shared" si="126"/>
        <v>67890;86672</v>
      </c>
      <c r="CW144" s="3" t="s">
        <v>168</v>
      </c>
      <c r="CX144" s="3" t="str">
        <f t="shared" si="127"/>
        <v>;;BB144:BD144;;</v>
      </c>
      <c r="CY144" s="5" t="str">
        <f t="shared" si="128"/>
        <v>Unlock</v>
      </c>
      <c r="CZ144" s="5" t="str">
        <f t="shared" si="129"/>
        <v>Lock</v>
      </c>
      <c r="DA144" s="5" t="str">
        <f t="shared" si="130"/>
        <v>Lock</v>
      </c>
      <c r="DB144" s="5" t="str">
        <f t="shared" si="131"/>
        <v>Lock</v>
      </c>
      <c r="DC144" s="5" t="str">
        <f t="shared" si="132"/>
        <v>Lock</v>
      </c>
      <c r="DD144" s="78">
        <f t="shared" si="133"/>
        <v>2</v>
      </c>
      <c r="DE144" s="2"/>
      <c r="DF144" s="2"/>
      <c r="DG144" s="2"/>
      <c r="DH144" s="2"/>
      <c r="DI144" s="2"/>
      <c r="DJ144" s="2"/>
      <c r="DK144" s="5"/>
      <c r="DL144" s="2"/>
      <c r="DM144" s="2"/>
      <c r="DN144" s="2"/>
      <c r="DO144" s="2"/>
      <c r="DP144" s="2"/>
      <c r="DQ144" s="2"/>
      <c r="DR144" s="2"/>
      <c r="DS144" s="2"/>
      <c r="DT144" s="2"/>
      <c r="DU144" s="2"/>
      <c r="DV144" s="2"/>
      <c r="DW144" s="2"/>
      <c r="DX144" s="2"/>
      <c r="DY144" s="2"/>
      <c r="DZ144" s="2"/>
      <c r="EA144" s="2"/>
      <c r="EB144" s="2"/>
      <c r="EC144" s="2"/>
      <c r="ED144" s="2"/>
      <c r="EE144" s="2"/>
      <c r="EF144" s="1"/>
      <c r="EG144" s="98"/>
      <c r="EH144" s="98"/>
      <c r="EI144" s="1"/>
      <c r="EJ144" s="1"/>
      <c r="EK144" s="98"/>
      <c r="EL144" s="1"/>
    </row>
    <row r="145" spans="1:142">
      <c r="A145" s="32">
        <f t="shared" si="92"/>
        <v>9536</v>
      </c>
      <c r="B145" s="3" t="str">
        <f t="shared" si="93"/>
        <v>sv_statement//Statement//Export Statement&amp;PDFID=Travis Sherwin_9536&amp;SO=Y</v>
      </c>
      <c r="C145" s="5" t="str">
        <f t="shared" si="134"/>
        <v>Statement</v>
      </c>
      <c r="D145" s="5" t="str">
        <f t="shared" si="94"/>
        <v>Travis Sherwin_9536</v>
      </c>
      <c r="E145" s="5"/>
      <c r="F145" s="5">
        <v>9536</v>
      </c>
      <c r="G145" s="22" t="s">
        <v>443</v>
      </c>
      <c r="H145" s="5" t="s">
        <v>367</v>
      </c>
      <c r="I145" s="5" t="s">
        <v>444</v>
      </c>
      <c r="J145" s="5" t="s">
        <v>252</v>
      </c>
      <c r="K145" s="5" t="s">
        <v>333</v>
      </c>
      <c r="L145" s="31">
        <f t="shared" si="95"/>
        <v>29326</v>
      </c>
      <c r="M145" s="5" t="s">
        <v>334</v>
      </c>
      <c r="N145" s="22" t="s">
        <v>155</v>
      </c>
      <c r="O145" s="100">
        <v>38238</v>
      </c>
      <c r="P145" s="146">
        <f>VLOOKUP(I145,'Job Codes'!$B$2:$I$120,4,FALSE)</f>
        <v>27000</v>
      </c>
      <c r="Q145" s="146">
        <f>VLOOKUP(I145,'Job Codes'!$B$2:$I$120,5,FALSE)</f>
        <v>35100</v>
      </c>
      <c r="R145" s="146">
        <f>VLOOKUP(I145,'Job Codes'!$B$2:$I$120,6,FALSE)</f>
        <v>42120</v>
      </c>
      <c r="S145" s="22" t="s">
        <v>171</v>
      </c>
      <c r="T145" s="146">
        <v>35880</v>
      </c>
      <c r="U145" s="8">
        <f>VLOOKUP(S145,Data!$H$22:$I$25,2,FALSE)*T145</f>
        <v>35880</v>
      </c>
      <c r="V145" s="180">
        <f t="shared" si="96"/>
        <v>1.0222222222222221</v>
      </c>
      <c r="W145" s="180">
        <f t="shared" si="97"/>
        <v>0</v>
      </c>
      <c r="X145" s="22" t="str">
        <f t="shared" si="98"/>
        <v>No</v>
      </c>
      <c r="Y145" s="180">
        <f t="shared" si="99"/>
        <v>0</v>
      </c>
      <c r="Z145" s="146">
        <f t="shared" si="100"/>
        <v>0</v>
      </c>
      <c r="AA145" s="146">
        <f t="shared" si="101"/>
        <v>0</v>
      </c>
      <c r="AB145" s="72"/>
      <c r="AC145" s="146">
        <f>AB145/VLOOKUP(S145,Data!$H$22:$I$25,2,FALSE)</f>
        <v>0</v>
      </c>
      <c r="AD145" s="22" t="s">
        <v>157</v>
      </c>
      <c r="AE145" s="146">
        <f>VLOOKUP(S145,Data!$H$22:$J$25,3,FALSE)*T145</f>
        <v>1076.3999999999999</v>
      </c>
      <c r="AF145" s="8">
        <f>VLOOKUP(S145,Data!$H$22:$I$25,2,FALSE)*AE145</f>
        <v>1076.3999999999999</v>
      </c>
      <c r="AG145" s="8" t="s">
        <v>178</v>
      </c>
      <c r="AH145" s="23">
        <v>2.5000000000000001E-2</v>
      </c>
      <c r="AI145" s="72"/>
      <c r="AJ145" s="159">
        <f t="shared" si="102"/>
        <v>2.5000000000000001E-2</v>
      </c>
      <c r="AK145" s="168">
        <f t="shared" si="135"/>
        <v>897</v>
      </c>
      <c r="AL145" s="160">
        <f t="shared" si="136"/>
        <v>897</v>
      </c>
      <c r="AM145" s="168">
        <f t="shared" si="103"/>
        <v>36777</v>
      </c>
      <c r="AN145" s="160">
        <f t="shared" si="104"/>
        <v>36777</v>
      </c>
      <c r="AO145" s="160" t="str">
        <f t="shared" si="137"/>
        <v>No</v>
      </c>
      <c r="AP145" s="146">
        <f>IF(AQ145=0,0,AQ145/VLOOKUP(S145,Data!$H$22:$I$25,2,FALSE))</f>
        <v>0</v>
      </c>
      <c r="AQ145" s="183">
        <f t="shared" si="105"/>
        <v>0</v>
      </c>
      <c r="AR145" s="165">
        <f t="shared" si="106"/>
        <v>897</v>
      </c>
      <c r="AS145" s="183">
        <f t="shared" si="107"/>
        <v>897</v>
      </c>
      <c r="AT145" s="250">
        <f t="shared" si="108"/>
        <v>2.5000000000000001E-2</v>
      </c>
      <c r="AU145" s="146">
        <f t="shared" si="109"/>
        <v>36777</v>
      </c>
      <c r="AV145" s="8">
        <f t="shared" si="110"/>
        <v>36777</v>
      </c>
      <c r="AW145" s="8" t="str">
        <f t="shared" si="111"/>
        <v/>
      </c>
      <c r="AX145" s="180">
        <f t="shared" si="112"/>
        <v>1.0477777777777777</v>
      </c>
      <c r="AY145" s="146">
        <f t="shared" si="113"/>
        <v>0</v>
      </c>
      <c r="AZ145" s="146">
        <f t="shared" si="114"/>
        <v>0</v>
      </c>
      <c r="BA145" s="22" t="s">
        <v>159</v>
      </c>
      <c r="BB145" s="149"/>
      <c r="BC145" s="149"/>
      <c r="BD145" s="144"/>
      <c r="BE145" s="146" t="str">
        <f t="shared" si="115"/>
        <v/>
      </c>
      <c r="BF145" s="8" t="str">
        <f t="shared" si="116"/>
        <v/>
      </c>
      <c r="BG145" s="8" t="str">
        <f>IF(LEN(BC145)&gt;0,VLOOKUP(BC145,'Job Codes'!B138:I256,7,FALSE),"")</f>
        <v/>
      </c>
      <c r="BH145" s="192" t="str">
        <f>IF(LEN(BC145)&gt;0,VLOOKUP(BC145,'Job Codes'!B138:I256,8,FALSE),"")</f>
        <v/>
      </c>
      <c r="BI145" s="192" t="str">
        <f>IF(LEN(BC145)&gt;0,VLOOKUP(BC145,'Job Codes'!$B$2:$J$120,9,FALSE),"")</f>
        <v/>
      </c>
      <c r="BJ145" s="146" t="str">
        <f>IF(LEN(BC145)&gt;0,VLOOKUP(BC145,'Job Codes'!$B$2:$I$120,4,FALSE),"")</f>
        <v/>
      </c>
      <c r="BK145" s="146" t="str">
        <f>IF(LEN(BC145)&gt;0,VLOOKUP(BC145,'Job Codes'!$B$2:$I$120,5,FALSE),"")</f>
        <v/>
      </c>
      <c r="BL145" s="146" t="str">
        <f>IF(LEN(BC145)&gt;0,VLOOKUP(BC145,'Job Codes'!$B$2:$I$120,6,FALSE),"")</f>
        <v/>
      </c>
      <c r="BM145" s="168">
        <f t="shared" si="117"/>
        <v>36777</v>
      </c>
      <c r="BN145" s="160">
        <f t="shared" si="118"/>
        <v>36777</v>
      </c>
      <c r="BO145" s="22" t="s">
        <v>157</v>
      </c>
      <c r="BP145" s="157">
        <f>VLOOKUP(I145,'Job Codes'!$B$2:$I$120,8,FALSE)</f>
        <v>0.05</v>
      </c>
      <c r="BQ145" s="25" t="str">
        <f>IF(O145&gt;Data!$H$33,"Yes","No")</f>
        <v>No</v>
      </c>
      <c r="BR145" s="191">
        <v>0.05</v>
      </c>
      <c r="BS145" s="150">
        <f t="shared" si="119"/>
        <v>1794</v>
      </c>
      <c r="BT145" s="25">
        <f t="shared" si="120"/>
        <v>1794</v>
      </c>
      <c r="BU145" s="161">
        <v>1</v>
      </c>
      <c r="BV145" s="168">
        <f t="shared" si="121"/>
        <v>1794</v>
      </c>
      <c r="BW145" s="160">
        <f t="shared" si="122"/>
        <v>1794</v>
      </c>
      <c r="BX145" s="149"/>
      <c r="BY145" s="32">
        <f t="shared" si="123"/>
        <v>0</v>
      </c>
      <c r="BZ145" s="22" t="s">
        <v>159</v>
      </c>
      <c r="CA145" s="231">
        <f>VLOOKUP(I145,'Job Codes'!$B$2:$J$120,9,FALSE)</f>
        <v>0</v>
      </c>
      <c r="CB145" s="253">
        <f t="shared" si="124"/>
        <v>0</v>
      </c>
      <c r="CC145" s="72"/>
      <c r="CD145" s="25" t="str">
        <f t="shared" si="125"/>
        <v>Meets</v>
      </c>
      <c r="CE145" s="27"/>
      <c r="CF145" s="27"/>
      <c r="CG145" s="27"/>
      <c r="CH145" s="27"/>
      <c r="CI145" s="27"/>
      <c r="CJ145" s="3">
        <v>29271</v>
      </c>
      <c r="CK145" s="3" t="s">
        <v>255</v>
      </c>
      <c r="CL145" s="3">
        <v>4569</v>
      </c>
      <c r="CM145" s="3" t="s">
        <v>161</v>
      </c>
      <c r="CN145" s="3">
        <v>4571</v>
      </c>
      <c r="CO145" s="3" t="s">
        <v>162</v>
      </c>
      <c r="CP145" s="3">
        <v>12345</v>
      </c>
      <c r="CQ145" s="3" t="s">
        <v>163</v>
      </c>
      <c r="CR145" s="246" t="s">
        <v>164</v>
      </c>
      <c r="CS145" s="5" t="s">
        <v>165</v>
      </c>
      <c r="CT145" s="246" t="s">
        <v>256</v>
      </c>
      <c r="CU145" s="247" t="s">
        <v>257</v>
      </c>
      <c r="CV145" s="3" t="str">
        <f t="shared" si="126"/>
        <v>67890;86672</v>
      </c>
      <c r="CW145" s="3" t="s">
        <v>168</v>
      </c>
      <c r="CX145" s="3" t="str">
        <f t="shared" si="127"/>
        <v>AB145;;BB145:BD145;;CC145</v>
      </c>
      <c r="CY145" s="5" t="str">
        <f t="shared" si="128"/>
        <v>Unlock</v>
      </c>
      <c r="CZ145" s="5" t="str">
        <f t="shared" si="129"/>
        <v>Lock</v>
      </c>
      <c r="DA145" s="5" t="str">
        <f t="shared" si="130"/>
        <v>Lock</v>
      </c>
      <c r="DB145" s="5" t="str">
        <f t="shared" si="131"/>
        <v>Lock</v>
      </c>
      <c r="DC145" s="5" t="str">
        <f t="shared" si="132"/>
        <v>Lock</v>
      </c>
      <c r="DD145" s="78">
        <f t="shared" si="133"/>
        <v>2</v>
      </c>
      <c r="DE145" s="2"/>
      <c r="DF145" s="2"/>
      <c r="DG145" s="2"/>
      <c r="DH145" s="2"/>
      <c r="DI145" s="2"/>
      <c r="DJ145" s="2"/>
      <c r="DK145" s="5"/>
      <c r="DL145" s="2"/>
      <c r="DM145" s="2"/>
      <c r="DN145" s="2"/>
      <c r="DO145" s="2"/>
      <c r="DP145" s="2"/>
      <c r="DQ145" s="2"/>
      <c r="DR145" s="2"/>
      <c r="DS145" s="2"/>
      <c r="DT145" s="2"/>
      <c r="DU145" s="2"/>
      <c r="DV145" s="2"/>
      <c r="DW145" s="2"/>
      <c r="DX145" s="2"/>
      <c r="DY145" s="2"/>
      <c r="DZ145" s="2"/>
      <c r="EA145" s="2"/>
      <c r="EB145" s="2"/>
      <c r="EC145" s="2"/>
      <c r="ED145" s="2"/>
      <c r="EE145" s="2"/>
      <c r="EF145" s="1"/>
      <c r="EG145" s="98"/>
      <c r="EH145" s="98"/>
      <c r="EI145" s="1"/>
      <c r="EJ145" s="1"/>
      <c r="EK145" s="98"/>
      <c r="EL145" s="1"/>
    </row>
    <row r="146" spans="1:142">
      <c r="A146" s="32">
        <f t="shared" si="92"/>
        <v>9553</v>
      </c>
      <c r="B146" s="3" t="str">
        <f t="shared" si="93"/>
        <v>sv_statement//Statement//Export Statement&amp;PDFID=Jeffery Ricketts_9553&amp;SO=Y</v>
      </c>
      <c r="C146" s="5" t="str">
        <f t="shared" si="134"/>
        <v>Statement</v>
      </c>
      <c r="D146" s="5" t="str">
        <f t="shared" si="94"/>
        <v>Jeffery Ricketts_9553</v>
      </c>
      <c r="E146" s="5"/>
      <c r="F146" s="5">
        <v>9553</v>
      </c>
      <c r="G146" s="22" t="s">
        <v>445</v>
      </c>
      <c r="H146" s="5" t="s">
        <v>367</v>
      </c>
      <c r="I146" s="5" t="s">
        <v>446</v>
      </c>
      <c r="J146" s="5" t="s">
        <v>252</v>
      </c>
      <c r="K146" s="5" t="s">
        <v>333</v>
      </c>
      <c r="L146" s="31">
        <f t="shared" si="95"/>
        <v>29326</v>
      </c>
      <c r="M146" s="5" t="s">
        <v>334</v>
      </c>
      <c r="N146" s="22" t="s">
        <v>155</v>
      </c>
      <c r="O146" s="100">
        <v>38250</v>
      </c>
      <c r="P146" s="146">
        <f>VLOOKUP(I146,'Job Codes'!$B$2:$I$120,4,FALSE)</f>
        <v>33000</v>
      </c>
      <c r="Q146" s="146">
        <f>VLOOKUP(I146,'Job Codes'!$B$2:$I$120,5,FALSE)</f>
        <v>42900</v>
      </c>
      <c r="R146" s="146">
        <f>VLOOKUP(I146,'Job Codes'!$B$2:$I$120,6,FALSE)</f>
        <v>51480</v>
      </c>
      <c r="S146" s="22" t="s">
        <v>171</v>
      </c>
      <c r="T146" s="146">
        <v>28746</v>
      </c>
      <c r="U146" s="8">
        <f>VLOOKUP(S146,Data!$H$22:$I$25,2,FALSE)*T146</f>
        <v>28746</v>
      </c>
      <c r="V146" s="180">
        <f t="shared" si="96"/>
        <v>0.6700699300699301</v>
      </c>
      <c r="W146" s="180">
        <f t="shared" si="97"/>
        <v>0.49238154873721562</v>
      </c>
      <c r="X146" s="22" t="str">
        <f t="shared" si="98"/>
        <v>Yes</v>
      </c>
      <c r="Y146" s="180">
        <f t="shared" si="99"/>
        <v>0.02</v>
      </c>
      <c r="Z146" s="146">
        <f t="shared" si="100"/>
        <v>574.91999999999996</v>
      </c>
      <c r="AA146" s="146">
        <f t="shared" si="101"/>
        <v>574.91999999999996</v>
      </c>
      <c r="AB146" s="72"/>
      <c r="AC146" s="146">
        <f>AB146/VLOOKUP(S146,Data!$H$22:$I$25,2,FALSE)</f>
        <v>0</v>
      </c>
      <c r="AD146" s="22" t="s">
        <v>157</v>
      </c>
      <c r="AE146" s="146">
        <f>VLOOKUP(S146,Data!$H$22:$J$25,3,FALSE)*T146</f>
        <v>862.38</v>
      </c>
      <c r="AF146" s="8">
        <f>VLOOKUP(S146,Data!$H$22:$I$25,2,FALSE)*AE146</f>
        <v>862.38</v>
      </c>
      <c r="AG146" s="8" t="s">
        <v>158</v>
      </c>
      <c r="AH146" s="23">
        <v>2.5000000000000001E-2</v>
      </c>
      <c r="AI146" s="72"/>
      <c r="AJ146" s="159">
        <f t="shared" si="102"/>
        <v>2.5000000000000005E-2</v>
      </c>
      <c r="AK146" s="168">
        <f t="shared" si="135"/>
        <v>718.65000000000009</v>
      </c>
      <c r="AL146" s="160">
        <f t="shared" si="136"/>
        <v>718.65000000000009</v>
      </c>
      <c r="AM146" s="168">
        <f t="shared" si="103"/>
        <v>29464.65</v>
      </c>
      <c r="AN146" s="160">
        <f t="shared" si="104"/>
        <v>29464.65</v>
      </c>
      <c r="AO146" s="160" t="str">
        <f t="shared" si="137"/>
        <v>No</v>
      </c>
      <c r="AP146" s="146">
        <f>IF(AQ146=0,0,AQ146/VLOOKUP(S146,Data!$H$22:$I$25,2,FALSE))</f>
        <v>0</v>
      </c>
      <c r="AQ146" s="183">
        <f t="shared" si="105"/>
        <v>0</v>
      </c>
      <c r="AR146" s="165">
        <f t="shared" si="106"/>
        <v>718.65000000000009</v>
      </c>
      <c r="AS146" s="183">
        <f t="shared" si="107"/>
        <v>718.65000000000009</v>
      </c>
      <c r="AT146" s="250">
        <f t="shared" si="108"/>
        <v>2.5000000000000005E-2</v>
      </c>
      <c r="AU146" s="146">
        <f t="shared" si="109"/>
        <v>29464.65</v>
      </c>
      <c r="AV146" s="8">
        <f t="shared" si="110"/>
        <v>29464.65</v>
      </c>
      <c r="AW146" s="8" t="str">
        <f t="shared" si="111"/>
        <v/>
      </c>
      <c r="AX146" s="180">
        <f t="shared" si="112"/>
        <v>0.6868216783216784</v>
      </c>
      <c r="AY146" s="146">
        <f t="shared" si="113"/>
        <v>0</v>
      </c>
      <c r="AZ146" s="146">
        <f t="shared" si="114"/>
        <v>0</v>
      </c>
      <c r="BA146" s="22" t="s">
        <v>159</v>
      </c>
      <c r="BB146" s="149"/>
      <c r="BC146" s="149"/>
      <c r="BD146" s="144"/>
      <c r="BE146" s="146" t="str">
        <f t="shared" si="115"/>
        <v/>
      </c>
      <c r="BF146" s="8" t="str">
        <f t="shared" si="116"/>
        <v/>
      </c>
      <c r="BG146" s="8" t="str">
        <f>IF(LEN(BC146)&gt;0,VLOOKUP(BC146,'Job Codes'!B139:I257,7,FALSE),"")</f>
        <v/>
      </c>
      <c r="BH146" s="192" t="str">
        <f>IF(LEN(BC146)&gt;0,VLOOKUP(BC146,'Job Codes'!B139:I257,8,FALSE),"")</f>
        <v/>
      </c>
      <c r="BI146" s="192" t="str">
        <f>IF(LEN(BC146)&gt;0,VLOOKUP(BC146,'Job Codes'!$B$2:$J$120,9,FALSE),"")</f>
        <v/>
      </c>
      <c r="BJ146" s="146" t="str">
        <f>IF(LEN(BC146)&gt;0,VLOOKUP(BC146,'Job Codes'!$B$2:$I$120,4,FALSE),"")</f>
        <v/>
      </c>
      <c r="BK146" s="146" t="str">
        <f>IF(LEN(BC146)&gt;0,VLOOKUP(BC146,'Job Codes'!$B$2:$I$120,5,FALSE),"")</f>
        <v/>
      </c>
      <c r="BL146" s="146" t="str">
        <f>IF(LEN(BC146)&gt;0,VLOOKUP(BC146,'Job Codes'!$B$2:$I$120,6,FALSE),"")</f>
        <v/>
      </c>
      <c r="BM146" s="168">
        <f t="shared" si="117"/>
        <v>29464.65</v>
      </c>
      <c r="BN146" s="160">
        <f t="shared" si="118"/>
        <v>29464.65</v>
      </c>
      <c r="BO146" s="22" t="s">
        <v>157</v>
      </c>
      <c r="BP146" s="157">
        <f>VLOOKUP(I146,'Job Codes'!$B$2:$I$120,8,FALSE)</f>
        <v>0.1</v>
      </c>
      <c r="BQ146" s="25" t="str">
        <f>IF(O146&gt;Data!$H$33,"Yes","No")</f>
        <v>No</v>
      </c>
      <c r="BR146" s="191">
        <v>0.1</v>
      </c>
      <c r="BS146" s="150">
        <f t="shared" si="119"/>
        <v>2874.6000000000004</v>
      </c>
      <c r="BT146" s="25">
        <f t="shared" si="120"/>
        <v>2874.6000000000004</v>
      </c>
      <c r="BU146" s="161">
        <v>1</v>
      </c>
      <c r="BV146" s="168">
        <f t="shared" si="121"/>
        <v>2874.6000000000004</v>
      </c>
      <c r="BW146" s="160">
        <f t="shared" si="122"/>
        <v>2874.6000000000004</v>
      </c>
      <c r="BX146" s="149"/>
      <c r="BY146" s="32">
        <f t="shared" si="123"/>
        <v>0</v>
      </c>
      <c r="BZ146" s="22" t="s">
        <v>157</v>
      </c>
      <c r="CA146" s="231">
        <f>VLOOKUP(I146,'Job Codes'!$B$2:$J$120,9,FALSE)</f>
        <v>0.1</v>
      </c>
      <c r="CB146" s="253">
        <f t="shared" si="124"/>
        <v>2874.6000000000004</v>
      </c>
      <c r="CC146" s="72"/>
      <c r="CD146" s="25" t="str">
        <f t="shared" si="125"/>
        <v>Exceeds</v>
      </c>
      <c r="CE146" s="27"/>
      <c r="CF146" s="27"/>
      <c r="CG146" s="27"/>
      <c r="CH146" s="27"/>
      <c r="CI146" s="27"/>
      <c r="CJ146" s="3">
        <v>29271</v>
      </c>
      <c r="CK146" s="3" t="s">
        <v>255</v>
      </c>
      <c r="CL146" s="3">
        <v>4569</v>
      </c>
      <c r="CM146" s="3" t="s">
        <v>161</v>
      </c>
      <c r="CN146" s="3">
        <v>4571</v>
      </c>
      <c r="CO146" s="3" t="s">
        <v>162</v>
      </c>
      <c r="CP146" s="3">
        <v>12345</v>
      </c>
      <c r="CQ146" s="3" t="s">
        <v>163</v>
      </c>
      <c r="CR146" s="246" t="s">
        <v>164</v>
      </c>
      <c r="CS146" s="5" t="s">
        <v>165</v>
      </c>
      <c r="CT146" s="246" t="s">
        <v>256</v>
      </c>
      <c r="CU146" s="247" t="s">
        <v>257</v>
      </c>
      <c r="CV146" s="3" t="str">
        <f t="shared" si="126"/>
        <v>67890;86672</v>
      </c>
      <c r="CW146" s="3" t="s">
        <v>168</v>
      </c>
      <c r="CX146" s="3" t="str">
        <f t="shared" si="127"/>
        <v>;;BB146:BD146;;</v>
      </c>
      <c r="CY146" s="5" t="str">
        <f t="shared" si="128"/>
        <v>Unlock</v>
      </c>
      <c r="CZ146" s="5" t="str">
        <f t="shared" si="129"/>
        <v>Lock</v>
      </c>
      <c r="DA146" s="5" t="str">
        <f t="shared" si="130"/>
        <v>Lock</v>
      </c>
      <c r="DB146" s="5" t="str">
        <f t="shared" si="131"/>
        <v>Lock</v>
      </c>
      <c r="DC146" s="5" t="str">
        <f t="shared" si="132"/>
        <v>Lock</v>
      </c>
      <c r="DD146" s="78">
        <f t="shared" si="133"/>
        <v>2</v>
      </c>
      <c r="DE146" s="2"/>
      <c r="DF146" s="2"/>
      <c r="DG146" s="2"/>
      <c r="DH146" s="2"/>
      <c r="DI146" s="2"/>
      <c r="DJ146" s="2"/>
      <c r="DK146" s="5"/>
      <c r="DL146" s="2"/>
      <c r="DM146" s="2"/>
      <c r="DN146" s="2"/>
      <c r="DO146" s="2"/>
      <c r="DP146" s="2"/>
      <c r="DQ146" s="2"/>
      <c r="DR146" s="2"/>
      <c r="DS146" s="2"/>
      <c r="DT146" s="2"/>
      <c r="DU146" s="2"/>
      <c r="DV146" s="2"/>
      <c r="DW146" s="2"/>
      <c r="DX146" s="2"/>
      <c r="DY146" s="2"/>
      <c r="DZ146" s="2"/>
      <c r="EA146" s="2"/>
      <c r="EB146" s="2"/>
      <c r="EC146" s="2"/>
      <c r="ED146" s="2"/>
      <c r="EE146" s="2"/>
      <c r="EF146" s="1"/>
      <c r="EG146" s="98"/>
      <c r="EH146" s="98"/>
      <c r="EI146" s="1"/>
      <c r="EJ146" s="1"/>
      <c r="EK146" s="98"/>
      <c r="EL146" s="1"/>
    </row>
    <row r="147" spans="1:142">
      <c r="A147" s="32">
        <f t="shared" si="92"/>
        <v>9587</v>
      </c>
      <c r="B147" s="3" t="str">
        <f t="shared" si="93"/>
        <v>sv_statement//Statement//Export Statement&amp;PDFID=Christopher Gilkey_9587&amp;SO=Y</v>
      </c>
      <c r="C147" s="5" t="str">
        <f t="shared" si="134"/>
        <v>Statement</v>
      </c>
      <c r="D147" s="5" t="str">
        <f t="shared" si="94"/>
        <v>Christopher Gilkey_9587</v>
      </c>
      <c r="E147" s="5"/>
      <c r="F147" s="5">
        <v>9587</v>
      </c>
      <c r="G147" s="22" t="s">
        <v>447</v>
      </c>
      <c r="H147" s="5" t="s">
        <v>367</v>
      </c>
      <c r="I147" s="5" t="s">
        <v>412</v>
      </c>
      <c r="J147" s="5" t="s">
        <v>252</v>
      </c>
      <c r="K147" s="5" t="s">
        <v>333</v>
      </c>
      <c r="L147" s="31">
        <f t="shared" si="95"/>
        <v>29326</v>
      </c>
      <c r="M147" s="5" t="s">
        <v>334</v>
      </c>
      <c r="N147" s="22" t="s">
        <v>155</v>
      </c>
      <c r="O147" s="100">
        <v>38266</v>
      </c>
      <c r="P147" s="146">
        <f>VLOOKUP(I147,'Job Codes'!$B$2:$I$120,4,FALSE)</f>
        <v>26500</v>
      </c>
      <c r="Q147" s="146">
        <f>VLOOKUP(I147,'Job Codes'!$B$2:$I$120,5,FALSE)</f>
        <v>34450</v>
      </c>
      <c r="R147" s="146">
        <f>VLOOKUP(I147,'Job Codes'!$B$2:$I$120,6,FALSE)</f>
        <v>41340</v>
      </c>
      <c r="S147" s="22" t="s">
        <v>171</v>
      </c>
      <c r="T147" s="146">
        <v>32843</v>
      </c>
      <c r="U147" s="8">
        <f>VLOOKUP(S147,Data!$H$22:$I$25,2,FALSE)*T147</f>
        <v>32843</v>
      </c>
      <c r="V147" s="180">
        <f t="shared" si="96"/>
        <v>0.95335268505079829</v>
      </c>
      <c r="W147" s="180">
        <f t="shared" si="97"/>
        <v>4.892975672137137E-2</v>
      </c>
      <c r="X147" s="22" t="str">
        <f t="shared" si="98"/>
        <v>No</v>
      </c>
      <c r="Y147" s="180">
        <f t="shared" si="99"/>
        <v>0</v>
      </c>
      <c r="Z147" s="146">
        <f t="shared" si="100"/>
        <v>0</v>
      </c>
      <c r="AA147" s="146">
        <f t="shared" si="101"/>
        <v>0</v>
      </c>
      <c r="AB147" s="72"/>
      <c r="AC147" s="146">
        <f>AB147/VLOOKUP(S147,Data!$H$22:$I$25,2,FALSE)</f>
        <v>0</v>
      </c>
      <c r="AD147" s="22" t="s">
        <v>157</v>
      </c>
      <c r="AE147" s="146">
        <f>VLOOKUP(S147,Data!$H$22:$J$25,3,FALSE)*T147</f>
        <v>985.29</v>
      </c>
      <c r="AF147" s="8">
        <f>VLOOKUP(S147,Data!$H$22:$I$25,2,FALSE)*AE147</f>
        <v>985.29</v>
      </c>
      <c r="AG147" s="8" t="s">
        <v>178</v>
      </c>
      <c r="AH147" s="23">
        <v>0.02</v>
      </c>
      <c r="AI147" s="72"/>
      <c r="AJ147" s="159">
        <f t="shared" si="102"/>
        <v>0.02</v>
      </c>
      <c r="AK147" s="168">
        <f t="shared" si="135"/>
        <v>656.86</v>
      </c>
      <c r="AL147" s="160">
        <f t="shared" si="136"/>
        <v>656.86</v>
      </c>
      <c r="AM147" s="168">
        <f t="shared" si="103"/>
        <v>33499.86</v>
      </c>
      <c r="AN147" s="160">
        <f t="shared" si="104"/>
        <v>33499.86</v>
      </c>
      <c r="AO147" s="160" t="str">
        <f t="shared" si="137"/>
        <v>No</v>
      </c>
      <c r="AP147" s="146">
        <f>IF(AQ147=0,0,AQ147/VLOOKUP(S147,Data!$H$22:$I$25,2,FALSE))</f>
        <v>0</v>
      </c>
      <c r="AQ147" s="183">
        <f t="shared" si="105"/>
        <v>0</v>
      </c>
      <c r="AR147" s="165">
        <f t="shared" si="106"/>
        <v>656.86</v>
      </c>
      <c r="AS147" s="183">
        <f t="shared" si="107"/>
        <v>656.86</v>
      </c>
      <c r="AT147" s="250">
        <f t="shared" si="108"/>
        <v>0.02</v>
      </c>
      <c r="AU147" s="146">
        <f t="shared" si="109"/>
        <v>33499.86</v>
      </c>
      <c r="AV147" s="8">
        <f t="shared" si="110"/>
        <v>33499.86</v>
      </c>
      <c r="AW147" s="8" t="str">
        <f t="shared" si="111"/>
        <v/>
      </c>
      <c r="AX147" s="180">
        <f t="shared" si="112"/>
        <v>0.9724197387518142</v>
      </c>
      <c r="AY147" s="146">
        <f t="shared" si="113"/>
        <v>0</v>
      </c>
      <c r="AZ147" s="146">
        <f t="shared" si="114"/>
        <v>0</v>
      </c>
      <c r="BA147" s="22" t="s">
        <v>159</v>
      </c>
      <c r="BB147" s="149"/>
      <c r="BC147" s="149"/>
      <c r="BD147" s="144"/>
      <c r="BE147" s="146" t="str">
        <f t="shared" si="115"/>
        <v/>
      </c>
      <c r="BF147" s="8" t="str">
        <f t="shared" si="116"/>
        <v/>
      </c>
      <c r="BG147" s="8" t="str">
        <f>IF(LEN(BC147)&gt;0,VLOOKUP(BC147,'Job Codes'!B140:I258,7,FALSE),"")</f>
        <v/>
      </c>
      <c r="BH147" s="192" t="str">
        <f>IF(LEN(BC147)&gt;0,VLOOKUP(BC147,'Job Codes'!B140:I258,8,FALSE),"")</f>
        <v/>
      </c>
      <c r="BI147" s="192" t="str">
        <f>IF(LEN(BC147)&gt;0,VLOOKUP(BC147,'Job Codes'!$B$2:$J$120,9,FALSE),"")</f>
        <v/>
      </c>
      <c r="BJ147" s="146" t="str">
        <f>IF(LEN(BC147)&gt;0,VLOOKUP(BC147,'Job Codes'!$B$2:$I$120,4,FALSE),"")</f>
        <v/>
      </c>
      <c r="BK147" s="146" t="str">
        <f>IF(LEN(BC147)&gt;0,VLOOKUP(BC147,'Job Codes'!$B$2:$I$120,5,FALSE),"")</f>
        <v/>
      </c>
      <c r="BL147" s="146" t="str">
        <f>IF(LEN(BC147)&gt;0,VLOOKUP(BC147,'Job Codes'!$B$2:$I$120,6,FALSE),"")</f>
        <v/>
      </c>
      <c r="BM147" s="168">
        <f t="shared" si="117"/>
        <v>33499.86</v>
      </c>
      <c r="BN147" s="160">
        <f t="shared" si="118"/>
        <v>33499.86</v>
      </c>
      <c r="BO147" s="22" t="s">
        <v>157</v>
      </c>
      <c r="BP147" s="157">
        <f>VLOOKUP(I147,'Job Codes'!$B$2:$I$120,8,FALSE)</f>
        <v>0.05</v>
      </c>
      <c r="BQ147" s="25" t="str">
        <f>IF(O147&gt;Data!$H$33,"Yes","No")</f>
        <v>No</v>
      </c>
      <c r="BR147" s="191">
        <v>0.05</v>
      </c>
      <c r="BS147" s="150">
        <f t="shared" si="119"/>
        <v>1642.15</v>
      </c>
      <c r="BT147" s="25">
        <f t="shared" si="120"/>
        <v>1642.15</v>
      </c>
      <c r="BU147" s="161">
        <v>1</v>
      </c>
      <c r="BV147" s="168">
        <f t="shared" si="121"/>
        <v>1642.15</v>
      </c>
      <c r="BW147" s="160">
        <f t="shared" si="122"/>
        <v>1642.15</v>
      </c>
      <c r="BX147" s="149"/>
      <c r="BY147" s="32">
        <f t="shared" si="123"/>
        <v>0</v>
      </c>
      <c r="BZ147" s="22" t="s">
        <v>159</v>
      </c>
      <c r="CA147" s="231">
        <f>VLOOKUP(I147,'Job Codes'!$B$2:$J$120,9,FALSE)</f>
        <v>0</v>
      </c>
      <c r="CB147" s="253">
        <f t="shared" si="124"/>
        <v>0</v>
      </c>
      <c r="CC147" s="72"/>
      <c r="CD147" s="25" t="str">
        <f t="shared" si="125"/>
        <v>Meets</v>
      </c>
      <c r="CE147" s="27"/>
      <c r="CF147" s="27"/>
      <c r="CG147" s="27"/>
      <c r="CH147" s="27"/>
      <c r="CI147" s="27"/>
      <c r="CJ147" s="3">
        <v>29271</v>
      </c>
      <c r="CK147" s="3" t="s">
        <v>255</v>
      </c>
      <c r="CL147" s="3">
        <v>4569</v>
      </c>
      <c r="CM147" s="3" t="s">
        <v>161</v>
      </c>
      <c r="CN147" s="3">
        <v>4571</v>
      </c>
      <c r="CO147" s="3" t="s">
        <v>162</v>
      </c>
      <c r="CP147" s="3">
        <v>12345</v>
      </c>
      <c r="CQ147" s="3" t="s">
        <v>163</v>
      </c>
      <c r="CR147" s="246" t="s">
        <v>164</v>
      </c>
      <c r="CS147" s="5" t="s">
        <v>165</v>
      </c>
      <c r="CT147" s="246" t="s">
        <v>256</v>
      </c>
      <c r="CU147" s="247" t="s">
        <v>257</v>
      </c>
      <c r="CV147" s="3" t="str">
        <f t="shared" si="126"/>
        <v>67890;86672</v>
      </c>
      <c r="CW147" s="3" t="s">
        <v>168</v>
      </c>
      <c r="CX147" s="3" t="str">
        <f t="shared" si="127"/>
        <v>AB147;;BB147:BD147;;CC147</v>
      </c>
      <c r="CY147" s="5" t="str">
        <f t="shared" si="128"/>
        <v>Unlock</v>
      </c>
      <c r="CZ147" s="5" t="str">
        <f t="shared" si="129"/>
        <v>Lock</v>
      </c>
      <c r="DA147" s="5" t="str">
        <f t="shared" si="130"/>
        <v>Lock</v>
      </c>
      <c r="DB147" s="5" t="str">
        <f t="shared" si="131"/>
        <v>Lock</v>
      </c>
      <c r="DC147" s="5" t="str">
        <f t="shared" si="132"/>
        <v>Lock</v>
      </c>
      <c r="DD147" s="78">
        <f t="shared" si="133"/>
        <v>2</v>
      </c>
      <c r="DE147" s="2"/>
      <c r="DF147" s="2"/>
      <c r="DG147" s="2"/>
      <c r="DH147" s="2"/>
      <c r="DI147" s="2"/>
      <c r="DJ147" s="2"/>
      <c r="DK147" s="5"/>
      <c r="DL147" s="2"/>
      <c r="DM147" s="2"/>
      <c r="DN147" s="2"/>
      <c r="DO147" s="2"/>
      <c r="DP147" s="2"/>
      <c r="DQ147" s="2"/>
      <c r="DR147" s="2"/>
      <c r="DS147" s="2"/>
      <c r="DT147" s="2"/>
      <c r="DU147" s="2"/>
      <c r="DV147" s="2"/>
      <c r="DW147" s="2"/>
      <c r="DX147" s="2"/>
      <c r="DY147" s="2"/>
      <c r="DZ147" s="2"/>
      <c r="EA147" s="2"/>
      <c r="EB147" s="2"/>
      <c r="EC147" s="2"/>
      <c r="ED147" s="2"/>
      <c r="EE147" s="2"/>
      <c r="EF147" s="1"/>
      <c r="EG147" s="98"/>
      <c r="EH147" s="98"/>
      <c r="EI147" s="1"/>
      <c r="EJ147" s="1"/>
      <c r="EK147" s="98"/>
      <c r="EL147" s="1"/>
    </row>
    <row r="148" spans="1:142">
      <c r="A148" s="32">
        <f t="shared" si="92"/>
        <v>9730</v>
      </c>
      <c r="B148" s="3" t="str">
        <f t="shared" si="93"/>
        <v>sv_statement//Statement//Export Statement&amp;PDFID=Jessica Farnsworth_9730&amp;SO=Y</v>
      </c>
      <c r="C148" s="5" t="str">
        <f t="shared" si="134"/>
        <v>Statement</v>
      </c>
      <c r="D148" s="5" t="str">
        <f t="shared" si="94"/>
        <v>Jessica Farnsworth_9730</v>
      </c>
      <c r="E148" s="5"/>
      <c r="F148" s="5">
        <v>9730</v>
      </c>
      <c r="G148" s="22" t="s">
        <v>448</v>
      </c>
      <c r="H148" s="5" t="s">
        <v>367</v>
      </c>
      <c r="I148" s="5" t="s">
        <v>404</v>
      </c>
      <c r="J148" s="5" t="s">
        <v>252</v>
      </c>
      <c r="K148" s="5" t="s">
        <v>333</v>
      </c>
      <c r="L148" s="31">
        <f t="shared" si="95"/>
        <v>29326</v>
      </c>
      <c r="M148" s="5" t="s">
        <v>334</v>
      </c>
      <c r="N148" s="22" t="s">
        <v>155</v>
      </c>
      <c r="O148" s="100">
        <v>38356</v>
      </c>
      <c r="P148" s="146">
        <f>VLOOKUP(I148,'Job Codes'!$B$2:$I$120,4,FALSE)</f>
        <v>26500</v>
      </c>
      <c r="Q148" s="146">
        <f>VLOOKUP(I148,'Job Codes'!$B$2:$I$120,5,FALSE)</f>
        <v>34450</v>
      </c>
      <c r="R148" s="146">
        <f>VLOOKUP(I148,'Job Codes'!$B$2:$I$120,6,FALSE)</f>
        <v>41340</v>
      </c>
      <c r="S148" s="22" t="s">
        <v>171</v>
      </c>
      <c r="T148" s="146">
        <v>26104</v>
      </c>
      <c r="U148" s="8">
        <f>VLOOKUP(S148,Data!$H$22:$I$25,2,FALSE)*T148</f>
        <v>26104</v>
      </c>
      <c r="V148" s="180">
        <f t="shared" si="96"/>
        <v>0.75773584905660374</v>
      </c>
      <c r="W148" s="180">
        <f t="shared" si="97"/>
        <v>0.3197211155378486</v>
      </c>
      <c r="X148" s="22" t="str">
        <f t="shared" si="98"/>
        <v>Yes</v>
      </c>
      <c r="Y148" s="180">
        <f t="shared" si="99"/>
        <v>0.02</v>
      </c>
      <c r="Z148" s="146">
        <f t="shared" si="100"/>
        <v>522.08000000000004</v>
      </c>
      <c r="AA148" s="146">
        <f t="shared" si="101"/>
        <v>522.08000000000004</v>
      </c>
      <c r="AB148" s="72"/>
      <c r="AC148" s="146">
        <f>AB148/VLOOKUP(S148,Data!$H$22:$I$25,2,FALSE)</f>
        <v>0</v>
      </c>
      <c r="AD148" s="22" t="s">
        <v>157</v>
      </c>
      <c r="AE148" s="146">
        <f>VLOOKUP(S148,Data!$H$22:$J$25,3,FALSE)*T148</f>
        <v>783.12</v>
      </c>
      <c r="AF148" s="8">
        <f>VLOOKUP(S148,Data!$H$22:$I$25,2,FALSE)*AE148</f>
        <v>783.12</v>
      </c>
      <c r="AG148" s="8" t="s">
        <v>178</v>
      </c>
      <c r="AH148" s="23">
        <v>0.03</v>
      </c>
      <c r="AI148" s="72"/>
      <c r="AJ148" s="159">
        <f t="shared" si="102"/>
        <v>0.03</v>
      </c>
      <c r="AK148" s="168">
        <f t="shared" si="135"/>
        <v>783.12</v>
      </c>
      <c r="AL148" s="160">
        <f t="shared" si="136"/>
        <v>783.12</v>
      </c>
      <c r="AM148" s="168">
        <f t="shared" si="103"/>
        <v>26887.119999999999</v>
      </c>
      <c r="AN148" s="160">
        <f t="shared" si="104"/>
        <v>26887.119999999999</v>
      </c>
      <c r="AO148" s="160" t="str">
        <f t="shared" si="137"/>
        <v>No</v>
      </c>
      <c r="AP148" s="146">
        <f>IF(AQ148=0,0,AQ148/VLOOKUP(S148,Data!$H$22:$I$25,2,FALSE))</f>
        <v>0</v>
      </c>
      <c r="AQ148" s="183">
        <f t="shared" si="105"/>
        <v>0</v>
      </c>
      <c r="AR148" s="165">
        <f t="shared" si="106"/>
        <v>783.12</v>
      </c>
      <c r="AS148" s="183">
        <f t="shared" si="107"/>
        <v>783.12</v>
      </c>
      <c r="AT148" s="250">
        <f t="shared" si="108"/>
        <v>0.03</v>
      </c>
      <c r="AU148" s="146">
        <f t="shared" si="109"/>
        <v>26887.119999999999</v>
      </c>
      <c r="AV148" s="8">
        <f t="shared" si="110"/>
        <v>26887.119999999999</v>
      </c>
      <c r="AW148" s="8" t="str">
        <f t="shared" si="111"/>
        <v>Not within guidelines</v>
      </c>
      <c r="AX148" s="180">
        <f t="shared" si="112"/>
        <v>0.78046792452830183</v>
      </c>
      <c r="AY148" s="146">
        <f t="shared" si="113"/>
        <v>1</v>
      </c>
      <c r="AZ148" s="146">
        <f t="shared" si="114"/>
        <v>1</v>
      </c>
      <c r="BA148" s="22" t="s">
        <v>159</v>
      </c>
      <c r="BB148" s="149"/>
      <c r="BC148" s="149"/>
      <c r="BD148" s="144"/>
      <c r="BE148" s="146" t="str">
        <f t="shared" si="115"/>
        <v/>
      </c>
      <c r="BF148" s="8" t="str">
        <f t="shared" si="116"/>
        <v/>
      </c>
      <c r="BG148" s="8" t="str">
        <f>IF(LEN(BC148)&gt;0,VLOOKUP(BC148,'Job Codes'!B141:I259,7,FALSE),"")</f>
        <v/>
      </c>
      <c r="BH148" s="192" t="str">
        <f>IF(LEN(BC148)&gt;0,VLOOKUP(BC148,'Job Codes'!B141:I259,8,FALSE),"")</f>
        <v/>
      </c>
      <c r="BI148" s="192" t="str">
        <f>IF(LEN(BC148)&gt;0,VLOOKUP(BC148,'Job Codes'!$B$2:$J$120,9,FALSE),"")</f>
        <v/>
      </c>
      <c r="BJ148" s="146" t="str">
        <f>IF(LEN(BC148)&gt;0,VLOOKUP(BC148,'Job Codes'!$B$2:$I$120,4,FALSE),"")</f>
        <v/>
      </c>
      <c r="BK148" s="146" t="str">
        <f>IF(LEN(BC148)&gt;0,VLOOKUP(BC148,'Job Codes'!$B$2:$I$120,5,FALSE),"")</f>
        <v/>
      </c>
      <c r="BL148" s="146" t="str">
        <f>IF(LEN(BC148)&gt;0,VLOOKUP(BC148,'Job Codes'!$B$2:$I$120,6,FALSE),"")</f>
        <v/>
      </c>
      <c r="BM148" s="168">
        <f t="shared" si="117"/>
        <v>26887.119999999999</v>
      </c>
      <c r="BN148" s="160">
        <f t="shared" si="118"/>
        <v>26887.119999999999</v>
      </c>
      <c r="BO148" s="22" t="s">
        <v>157</v>
      </c>
      <c r="BP148" s="157">
        <f>VLOOKUP(I148,'Job Codes'!$B$2:$I$120,8,FALSE)</f>
        <v>0.05</v>
      </c>
      <c r="BQ148" s="25" t="str">
        <f>IF(O148&gt;Data!$H$33,"Yes","No")</f>
        <v>No</v>
      </c>
      <c r="BR148" s="191">
        <v>0.05</v>
      </c>
      <c r="BS148" s="150">
        <f t="shared" si="119"/>
        <v>1305.2</v>
      </c>
      <c r="BT148" s="25">
        <f t="shared" si="120"/>
        <v>1305.2</v>
      </c>
      <c r="BU148" s="161">
        <v>1</v>
      </c>
      <c r="BV148" s="168">
        <f t="shared" si="121"/>
        <v>1305.2</v>
      </c>
      <c r="BW148" s="160">
        <f t="shared" si="122"/>
        <v>1305.2</v>
      </c>
      <c r="BX148" s="149"/>
      <c r="BY148" s="32">
        <f t="shared" si="123"/>
        <v>0</v>
      </c>
      <c r="BZ148" s="22" t="s">
        <v>159</v>
      </c>
      <c r="CA148" s="231">
        <f>VLOOKUP(I148,'Job Codes'!$B$2:$J$120,9,FALSE)</f>
        <v>0</v>
      </c>
      <c r="CB148" s="253">
        <f t="shared" si="124"/>
        <v>0</v>
      </c>
      <c r="CC148" s="72"/>
      <c r="CD148" s="25" t="str">
        <f t="shared" si="125"/>
        <v>Meets</v>
      </c>
      <c r="CE148" s="27"/>
      <c r="CF148" s="27"/>
      <c r="CG148" s="27"/>
      <c r="CH148" s="27"/>
      <c r="CI148" s="27"/>
      <c r="CJ148" s="3">
        <v>29271</v>
      </c>
      <c r="CK148" s="3" t="s">
        <v>255</v>
      </c>
      <c r="CL148" s="3">
        <v>4569</v>
      </c>
      <c r="CM148" s="3" t="s">
        <v>161</v>
      </c>
      <c r="CN148" s="3">
        <v>4571</v>
      </c>
      <c r="CO148" s="3" t="s">
        <v>162</v>
      </c>
      <c r="CP148" s="3">
        <v>12345</v>
      </c>
      <c r="CQ148" s="3" t="s">
        <v>163</v>
      </c>
      <c r="CR148" s="246" t="s">
        <v>164</v>
      </c>
      <c r="CS148" s="5" t="s">
        <v>165</v>
      </c>
      <c r="CT148" s="246" t="s">
        <v>256</v>
      </c>
      <c r="CU148" s="247" t="s">
        <v>257</v>
      </c>
      <c r="CV148" s="3" t="str">
        <f t="shared" si="126"/>
        <v>67890;86672</v>
      </c>
      <c r="CW148" s="3" t="s">
        <v>168</v>
      </c>
      <c r="CX148" s="3" t="str">
        <f t="shared" si="127"/>
        <v>;;BB148:BD148;;CC148</v>
      </c>
      <c r="CY148" s="5" t="str">
        <f t="shared" si="128"/>
        <v>Unlock</v>
      </c>
      <c r="CZ148" s="5" t="str">
        <f t="shared" si="129"/>
        <v>Lock</v>
      </c>
      <c r="DA148" s="5" t="str">
        <f t="shared" si="130"/>
        <v>Lock</v>
      </c>
      <c r="DB148" s="5" t="str">
        <f t="shared" si="131"/>
        <v>Lock</v>
      </c>
      <c r="DC148" s="5" t="str">
        <f t="shared" si="132"/>
        <v>Lock</v>
      </c>
      <c r="DD148" s="78">
        <f t="shared" si="133"/>
        <v>2</v>
      </c>
      <c r="DE148" s="2"/>
      <c r="DF148" s="2"/>
      <c r="DG148" s="2"/>
      <c r="DH148" s="2"/>
      <c r="DI148" s="2"/>
      <c r="DJ148" s="2"/>
      <c r="DK148" s="5"/>
      <c r="DL148" s="2"/>
      <c r="DM148" s="2"/>
      <c r="DN148" s="2"/>
      <c r="DO148" s="2"/>
      <c r="DP148" s="2"/>
      <c r="DQ148" s="2"/>
      <c r="DR148" s="2"/>
      <c r="DS148" s="2"/>
      <c r="DT148" s="2"/>
      <c r="DU148" s="2"/>
      <c r="DV148" s="2"/>
      <c r="DW148" s="2"/>
      <c r="DX148" s="2"/>
      <c r="DY148" s="2"/>
      <c r="DZ148" s="2"/>
      <c r="EA148" s="2"/>
      <c r="EB148" s="2"/>
      <c r="EC148" s="2"/>
      <c r="ED148" s="2"/>
      <c r="EE148" s="2"/>
      <c r="EF148" s="1"/>
      <c r="EG148" s="98"/>
      <c r="EH148" s="98"/>
      <c r="EI148" s="1"/>
      <c r="EJ148" s="1"/>
      <c r="EK148" s="98"/>
      <c r="EL148" s="1"/>
    </row>
    <row r="149" spans="1:142">
      <c r="A149" s="32">
        <f t="shared" si="92"/>
        <v>9731</v>
      </c>
      <c r="B149" s="3" t="str">
        <f t="shared" si="93"/>
        <v>sv_statement//Statement//Export Statement&amp;PDFID=James Eagle_9731&amp;SO=Y</v>
      </c>
      <c r="C149" s="5" t="str">
        <f t="shared" si="134"/>
        <v>Statement</v>
      </c>
      <c r="D149" s="5" t="str">
        <f t="shared" si="94"/>
        <v>James Eagle_9731</v>
      </c>
      <c r="E149" s="5"/>
      <c r="F149" s="5">
        <v>9731</v>
      </c>
      <c r="G149" s="22" t="s">
        <v>449</v>
      </c>
      <c r="H149" s="5" t="s">
        <v>367</v>
      </c>
      <c r="I149" s="5" t="s">
        <v>322</v>
      </c>
      <c r="J149" s="5" t="s">
        <v>252</v>
      </c>
      <c r="K149" s="5" t="s">
        <v>333</v>
      </c>
      <c r="L149" s="31">
        <f t="shared" si="95"/>
        <v>29326</v>
      </c>
      <c r="M149" s="5" t="s">
        <v>334</v>
      </c>
      <c r="N149" s="22" t="s">
        <v>155</v>
      </c>
      <c r="O149" s="100">
        <v>38356</v>
      </c>
      <c r="P149" s="146">
        <f>VLOOKUP(I149,'Job Codes'!$B$2:$I$120,4,FALSE)</f>
        <v>23000</v>
      </c>
      <c r="Q149" s="146">
        <f>VLOOKUP(I149,'Job Codes'!$B$2:$I$120,5,FALSE)</f>
        <v>29900</v>
      </c>
      <c r="R149" s="146">
        <f>VLOOKUP(I149,'Job Codes'!$B$2:$I$120,6,FALSE)</f>
        <v>35880</v>
      </c>
      <c r="S149" s="22" t="s">
        <v>171</v>
      </c>
      <c r="T149" s="146">
        <v>25106</v>
      </c>
      <c r="U149" s="8">
        <f>VLOOKUP(S149,Data!$H$22:$I$25,2,FALSE)*T149</f>
        <v>25106</v>
      </c>
      <c r="V149" s="180">
        <f t="shared" si="96"/>
        <v>0.8396655518394649</v>
      </c>
      <c r="W149" s="180">
        <f t="shared" si="97"/>
        <v>0.19095037042937943</v>
      </c>
      <c r="X149" s="22" t="str">
        <f t="shared" si="98"/>
        <v>Yes</v>
      </c>
      <c r="Y149" s="180">
        <f t="shared" si="99"/>
        <v>0.02</v>
      </c>
      <c r="Z149" s="146">
        <f t="shared" si="100"/>
        <v>502.12</v>
      </c>
      <c r="AA149" s="146">
        <f t="shared" si="101"/>
        <v>502.12</v>
      </c>
      <c r="AB149" s="72"/>
      <c r="AC149" s="146">
        <f>AB149/VLOOKUP(S149,Data!$H$22:$I$25,2,FALSE)</f>
        <v>0</v>
      </c>
      <c r="AD149" s="22" t="s">
        <v>157</v>
      </c>
      <c r="AE149" s="146">
        <f>VLOOKUP(S149,Data!$H$22:$J$25,3,FALSE)*T149</f>
        <v>753.18</v>
      </c>
      <c r="AF149" s="8">
        <f>VLOOKUP(S149,Data!$H$22:$I$25,2,FALSE)*AE149</f>
        <v>753.18</v>
      </c>
      <c r="AG149" s="8" t="s">
        <v>178</v>
      </c>
      <c r="AH149" s="23">
        <v>0.06</v>
      </c>
      <c r="AI149" s="72"/>
      <c r="AJ149" s="159">
        <f t="shared" si="102"/>
        <v>0.06</v>
      </c>
      <c r="AK149" s="168">
        <f t="shared" si="135"/>
        <v>1506.36</v>
      </c>
      <c r="AL149" s="160">
        <f t="shared" si="136"/>
        <v>1506.36</v>
      </c>
      <c r="AM149" s="168">
        <f t="shared" si="103"/>
        <v>26612.36</v>
      </c>
      <c r="AN149" s="160">
        <f t="shared" si="104"/>
        <v>26612.36</v>
      </c>
      <c r="AO149" s="160" t="str">
        <f t="shared" si="137"/>
        <v>No</v>
      </c>
      <c r="AP149" s="146">
        <f>IF(AQ149=0,0,AQ149/VLOOKUP(S149,Data!$H$22:$I$25,2,FALSE))</f>
        <v>0</v>
      </c>
      <c r="AQ149" s="183">
        <f t="shared" si="105"/>
        <v>0</v>
      </c>
      <c r="AR149" s="165">
        <f t="shared" si="106"/>
        <v>1506.36</v>
      </c>
      <c r="AS149" s="183">
        <f t="shared" si="107"/>
        <v>1506.36</v>
      </c>
      <c r="AT149" s="250">
        <f t="shared" si="108"/>
        <v>0.06</v>
      </c>
      <c r="AU149" s="146">
        <f t="shared" si="109"/>
        <v>26612.36</v>
      </c>
      <c r="AV149" s="8">
        <f t="shared" si="110"/>
        <v>26612.36</v>
      </c>
      <c r="AW149" s="8" t="str">
        <f t="shared" si="111"/>
        <v>Not within guidelines</v>
      </c>
      <c r="AX149" s="180">
        <f t="shared" si="112"/>
        <v>0.89004548494983282</v>
      </c>
      <c r="AY149" s="146">
        <f t="shared" si="113"/>
        <v>1</v>
      </c>
      <c r="AZ149" s="146">
        <f t="shared" si="114"/>
        <v>1</v>
      </c>
      <c r="BA149" s="22" t="s">
        <v>159</v>
      </c>
      <c r="BB149" s="149"/>
      <c r="BC149" s="149"/>
      <c r="BD149" s="144"/>
      <c r="BE149" s="146" t="str">
        <f t="shared" si="115"/>
        <v/>
      </c>
      <c r="BF149" s="8" t="str">
        <f t="shared" si="116"/>
        <v/>
      </c>
      <c r="BG149" s="8" t="str">
        <f>IF(LEN(BC149)&gt;0,VLOOKUP(BC149,'Job Codes'!B142:I260,7,FALSE),"")</f>
        <v/>
      </c>
      <c r="BH149" s="192" t="str">
        <f>IF(LEN(BC149)&gt;0,VLOOKUP(BC149,'Job Codes'!B142:I260,8,FALSE),"")</f>
        <v/>
      </c>
      <c r="BI149" s="192" t="str">
        <f>IF(LEN(BC149)&gt;0,VLOOKUP(BC149,'Job Codes'!$B$2:$J$120,9,FALSE),"")</f>
        <v/>
      </c>
      <c r="BJ149" s="146" t="str">
        <f>IF(LEN(BC149)&gt;0,VLOOKUP(BC149,'Job Codes'!$B$2:$I$120,4,FALSE),"")</f>
        <v/>
      </c>
      <c r="BK149" s="146" t="str">
        <f>IF(LEN(BC149)&gt;0,VLOOKUP(BC149,'Job Codes'!$B$2:$I$120,5,FALSE),"")</f>
        <v/>
      </c>
      <c r="BL149" s="146" t="str">
        <f>IF(LEN(BC149)&gt;0,VLOOKUP(BC149,'Job Codes'!$B$2:$I$120,6,FALSE),"")</f>
        <v/>
      </c>
      <c r="BM149" s="168">
        <f t="shared" si="117"/>
        <v>26612.36</v>
      </c>
      <c r="BN149" s="160">
        <f t="shared" si="118"/>
        <v>26612.36</v>
      </c>
      <c r="BO149" s="22" t="s">
        <v>159</v>
      </c>
      <c r="BP149" s="157">
        <f>VLOOKUP(I149,'Job Codes'!$B$2:$I$120,8,FALSE)</f>
        <v>0</v>
      </c>
      <c r="BQ149" s="25" t="str">
        <f>IF(O149&gt;Data!$H$33,"Yes","No")</f>
        <v>No</v>
      </c>
      <c r="BR149" s="191">
        <v>0</v>
      </c>
      <c r="BS149" s="150">
        <f t="shared" si="119"/>
        <v>0</v>
      </c>
      <c r="BT149" s="25">
        <f t="shared" si="120"/>
        <v>0</v>
      </c>
      <c r="BU149" s="161">
        <v>1</v>
      </c>
      <c r="BV149" s="168">
        <f t="shared" si="121"/>
        <v>0</v>
      </c>
      <c r="BW149" s="160">
        <f t="shared" si="122"/>
        <v>0</v>
      </c>
      <c r="BX149" s="149"/>
      <c r="BY149" s="32">
        <f t="shared" si="123"/>
        <v>0</v>
      </c>
      <c r="BZ149" s="22" t="s">
        <v>159</v>
      </c>
      <c r="CA149" s="231">
        <f>VLOOKUP(I149,'Job Codes'!$B$2:$J$120,9,FALSE)</f>
        <v>0</v>
      </c>
      <c r="CB149" s="253">
        <f t="shared" si="124"/>
        <v>0</v>
      </c>
      <c r="CC149" s="72"/>
      <c r="CD149" s="25" t="str">
        <f t="shared" si="125"/>
        <v>Meets</v>
      </c>
      <c r="CE149" s="27"/>
      <c r="CF149" s="27"/>
      <c r="CG149" s="27"/>
      <c r="CH149" s="27"/>
      <c r="CI149" s="27"/>
      <c r="CJ149" s="3">
        <v>29271</v>
      </c>
      <c r="CK149" s="3" t="s">
        <v>255</v>
      </c>
      <c r="CL149" s="3">
        <v>4569</v>
      </c>
      <c r="CM149" s="3" t="s">
        <v>161</v>
      </c>
      <c r="CN149" s="3">
        <v>4571</v>
      </c>
      <c r="CO149" s="3" t="s">
        <v>162</v>
      </c>
      <c r="CP149" s="3">
        <v>12345</v>
      </c>
      <c r="CQ149" s="3" t="s">
        <v>163</v>
      </c>
      <c r="CR149" s="246" t="s">
        <v>164</v>
      </c>
      <c r="CS149" s="5" t="s">
        <v>165</v>
      </c>
      <c r="CT149" s="246" t="s">
        <v>256</v>
      </c>
      <c r="CU149" s="247" t="s">
        <v>257</v>
      </c>
      <c r="CV149" s="3" t="str">
        <f t="shared" si="126"/>
        <v>67890;86672</v>
      </c>
      <c r="CW149" s="3" t="s">
        <v>168</v>
      </c>
      <c r="CX149" s="3" t="str">
        <f t="shared" si="127"/>
        <v>;;BB149:BD149;BU149;BX149</v>
      </c>
      <c r="CY149" s="5" t="str">
        <f t="shared" si="128"/>
        <v>Unlock</v>
      </c>
      <c r="CZ149" s="5" t="str">
        <f t="shared" si="129"/>
        <v>Lock</v>
      </c>
      <c r="DA149" s="5" t="str">
        <f t="shared" si="130"/>
        <v>Lock</v>
      </c>
      <c r="DB149" s="5" t="str">
        <f t="shared" si="131"/>
        <v>Lock</v>
      </c>
      <c r="DC149" s="5" t="str">
        <f t="shared" si="132"/>
        <v>Lock</v>
      </c>
      <c r="DD149" s="78">
        <f t="shared" si="133"/>
        <v>2</v>
      </c>
      <c r="DE149" s="2"/>
      <c r="DF149" s="2"/>
      <c r="DG149" s="2"/>
      <c r="DH149" s="2"/>
      <c r="DI149" s="2"/>
      <c r="DJ149" s="2"/>
      <c r="DK149" s="5"/>
      <c r="DL149" s="2"/>
      <c r="DM149" s="2"/>
      <c r="DN149" s="2"/>
      <c r="DO149" s="2"/>
      <c r="DP149" s="2"/>
      <c r="DQ149" s="2"/>
      <c r="DR149" s="2"/>
      <c r="DS149" s="2"/>
      <c r="DT149" s="2"/>
      <c r="DU149" s="2"/>
      <c r="DV149" s="2"/>
      <c r="DW149" s="2"/>
      <c r="DX149" s="2"/>
      <c r="DY149" s="2"/>
      <c r="DZ149" s="2"/>
      <c r="EA149" s="2"/>
      <c r="EB149" s="2"/>
      <c r="EC149" s="2"/>
      <c r="ED149" s="2"/>
      <c r="EE149" s="2"/>
      <c r="EF149" s="1"/>
      <c r="EG149" s="98"/>
      <c r="EH149" s="98"/>
      <c r="EI149" s="1"/>
      <c r="EJ149" s="1"/>
      <c r="EK149" s="98"/>
      <c r="EL149" s="1"/>
    </row>
    <row r="150" spans="1:142">
      <c r="A150" s="32">
        <f t="shared" si="92"/>
        <v>9738</v>
      </c>
      <c r="B150" s="3" t="str">
        <f t="shared" si="93"/>
        <v>sv_statement//Statement//Export Statement&amp;PDFID=Viola Epley_9738&amp;SO=Y</v>
      </c>
      <c r="C150" s="5" t="str">
        <f t="shared" si="134"/>
        <v>Statement</v>
      </c>
      <c r="D150" s="5" t="str">
        <f t="shared" si="94"/>
        <v>Viola Epley_9738</v>
      </c>
      <c r="E150" s="5"/>
      <c r="F150" s="5">
        <v>9738</v>
      </c>
      <c r="G150" s="22" t="s">
        <v>450</v>
      </c>
      <c r="H150" s="5" t="s">
        <v>250</v>
      </c>
      <c r="I150" s="5" t="s">
        <v>291</v>
      </c>
      <c r="J150" s="5" t="s">
        <v>252</v>
      </c>
      <c r="K150" s="5" t="s">
        <v>333</v>
      </c>
      <c r="L150" s="31">
        <f t="shared" si="95"/>
        <v>29326</v>
      </c>
      <c r="M150" s="5" t="s">
        <v>334</v>
      </c>
      <c r="N150" s="22" t="s">
        <v>155</v>
      </c>
      <c r="O150" s="100">
        <v>38356</v>
      </c>
      <c r="P150" s="146">
        <f>VLOOKUP(I150,'Job Codes'!$B$2:$I$120,4,FALSE)</f>
        <v>23000</v>
      </c>
      <c r="Q150" s="146">
        <f>VLOOKUP(I150,'Job Codes'!$B$2:$I$120,5,FALSE)</f>
        <v>29900</v>
      </c>
      <c r="R150" s="146">
        <f>VLOOKUP(I150,'Job Codes'!$B$2:$I$120,6,FALSE)</f>
        <v>35880</v>
      </c>
      <c r="S150" s="22" t="s">
        <v>171</v>
      </c>
      <c r="T150" s="146">
        <v>31200</v>
      </c>
      <c r="U150" s="8">
        <f>VLOOKUP(S150,Data!$H$22:$I$25,2,FALSE)*T150</f>
        <v>31200</v>
      </c>
      <c r="V150" s="180">
        <f t="shared" si="96"/>
        <v>1.0434782608695652</v>
      </c>
      <c r="W150" s="180">
        <f t="shared" si="97"/>
        <v>0</v>
      </c>
      <c r="X150" s="22" t="str">
        <f t="shared" si="98"/>
        <v>No</v>
      </c>
      <c r="Y150" s="180">
        <f t="shared" si="99"/>
        <v>0</v>
      </c>
      <c r="Z150" s="146">
        <f t="shared" si="100"/>
        <v>0</v>
      </c>
      <c r="AA150" s="146">
        <f t="shared" si="101"/>
        <v>0</v>
      </c>
      <c r="AB150" s="72"/>
      <c r="AC150" s="146">
        <f>AB150/VLOOKUP(S150,Data!$H$22:$I$25,2,FALSE)</f>
        <v>0</v>
      </c>
      <c r="AD150" s="22" t="s">
        <v>157</v>
      </c>
      <c r="AE150" s="146">
        <f>VLOOKUP(S150,Data!$H$22:$J$25,3,FALSE)*T150</f>
        <v>936</v>
      </c>
      <c r="AF150" s="8">
        <f>VLOOKUP(S150,Data!$H$22:$I$25,2,FALSE)*AE150</f>
        <v>936</v>
      </c>
      <c r="AG150" s="8" t="s">
        <v>178</v>
      </c>
      <c r="AH150" s="23">
        <v>2.5000000000000001E-2</v>
      </c>
      <c r="AI150" s="72"/>
      <c r="AJ150" s="159">
        <f t="shared" si="102"/>
        <v>2.5000000000000001E-2</v>
      </c>
      <c r="AK150" s="168">
        <f t="shared" si="135"/>
        <v>780</v>
      </c>
      <c r="AL150" s="160">
        <f t="shared" si="136"/>
        <v>780</v>
      </c>
      <c r="AM150" s="168">
        <f t="shared" si="103"/>
        <v>31980</v>
      </c>
      <c r="AN150" s="160">
        <f t="shared" si="104"/>
        <v>31980</v>
      </c>
      <c r="AO150" s="160" t="str">
        <f t="shared" si="137"/>
        <v>No</v>
      </c>
      <c r="AP150" s="146">
        <f>IF(AQ150=0,0,AQ150/VLOOKUP(S150,Data!$H$22:$I$25,2,FALSE))</f>
        <v>0</v>
      </c>
      <c r="AQ150" s="183">
        <f t="shared" si="105"/>
        <v>0</v>
      </c>
      <c r="AR150" s="165">
        <f t="shared" si="106"/>
        <v>780</v>
      </c>
      <c r="AS150" s="183">
        <f t="shared" si="107"/>
        <v>780</v>
      </c>
      <c r="AT150" s="250">
        <f t="shared" si="108"/>
        <v>2.5000000000000001E-2</v>
      </c>
      <c r="AU150" s="146">
        <f t="shared" si="109"/>
        <v>31980</v>
      </c>
      <c r="AV150" s="8">
        <f t="shared" si="110"/>
        <v>31980</v>
      </c>
      <c r="AW150" s="8" t="str">
        <f t="shared" si="111"/>
        <v/>
      </c>
      <c r="AX150" s="180">
        <f t="shared" si="112"/>
        <v>1.0695652173913044</v>
      </c>
      <c r="AY150" s="146">
        <f t="shared" si="113"/>
        <v>0</v>
      </c>
      <c r="AZ150" s="146">
        <f t="shared" si="114"/>
        <v>0</v>
      </c>
      <c r="BA150" s="22" t="s">
        <v>159</v>
      </c>
      <c r="BB150" s="149"/>
      <c r="BC150" s="149"/>
      <c r="BD150" s="144"/>
      <c r="BE150" s="146" t="str">
        <f t="shared" si="115"/>
        <v/>
      </c>
      <c r="BF150" s="8" t="str">
        <f t="shared" si="116"/>
        <v/>
      </c>
      <c r="BG150" s="8" t="str">
        <f>IF(LEN(BC150)&gt;0,VLOOKUP(BC150,'Job Codes'!B143:I261,7,FALSE),"")</f>
        <v/>
      </c>
      <c r="BH150" s="192" t="str">
        <f>IF(LEN(BC150)&gt;0,VLOOKUP(BC150,'Job Codes'!B143:I261,8,FALSE),"")</f>
        <v/>
      </c>
      <c r="BI150" s="192" t="str">
        <f>IF(LEN(BC150)&gt;0,VLOOKUP(BC150,'Job Codes'!$B$2:$J$120,9,FALSE),"")</f>
        <v/>
      </c>
      <c r="BJ150" s="146" t="str">
        <f>IF(LEN(BC150)&gt;0,VLOOKUP(BC150,'Job Codes'!$B$2:$I$120,4,FALSE),"")</f>
        <v/>
      </c>
      <c r="BK150" s="146" t="str">
        <f>IF(LEN(BC150)&gt;0,VLOOKUP(BC150,'Job Codes'!$B$2:$I$120,5,FALSE),"")</f>
        <v/>
      </c>
      <c r="BL150" s="146" t="str">
        <f>IF(LEN(BC150)&gt;0,VLOOKUP(BC150,'Job Codes'!$B$2:$I$120,6,FALSE),"")</f>
        <v/>
      </c>
      <c r="BM150" s="168">
        <f t="shared" si="117"/>
        <v>31980</v>
      </c>
      <c r="BN150" s="160">
        <f t="shared" si="118"/>
        <v>31980</v>
      </c>
      <c r="BO150" s="22" t="s">
        <v>159</v>
      </c>
      <c r="BP150" s="157">
        <f>VLOOKUP(I150,'Job Codes'!$B$2:$I$120,8,FALSE)</f>
        <v>0</v>
      </c>
      <c r="BQ150" s="25" t="str">
        <f>IF(O150&gt;Data!$H$33,"Yes","No")</f>
        <v>No</v>
      </c>
      <c r="BR150" s="191">
        <v>0</v>
      </c>
      <c r="BS150" s="150">
        <f t="shared" si="119"/>
        <v>0</v>
      </c>
      <c r="BT150" s="25">
        <f t="shared" si="120"/>
        <v>0</v>
      </c>
      <c r="BU150" s="161">
        <v>1</v>
      </c>
      <c r="BV150" s="168">
        <f t="shared" si="121"/>
        <v>0</v>
      </c>
      <c r="BW150" s="160">
        <f t="shared" si="122"/>
        <v>0</v>
      </c>
      <c r="BX150" s="149"/>
      <c r="BY150" s="32">
        <f t="shared" si="123"/>
        <v>0</v>
      </c>
      <c r="BZ150" s="22" t="s">
        <v>159</v>
      </c>
      <c r="CA150" s="231">
        <f>VLOOKUP(I150,'Job Codes'!$B$2:$J$120,9,FALSE)</f>
        <v>0</v>
      </c>
      <c r="CB150" s="253">
        <f t="shared" si="124"/>
        <v>0</v>
      </c>
      <c r="CC150" s="72"/>
      <c r="CD150" s="25" t="str">
        <f t="shared" si="125"/>
        <v>Meets</v>
      </c>
      <c r="CE150" s="27"/>
      <c r="CF150" s="27"/>
      <c r="CG150" s="27"/>
      <c r="CH150" s="27"/>
      <c r="CI150" s="27"/>
      <c r="CJ150" s="3">
        <v>29271</v>
      </c>
      <c r="CK150" s="3" t="s">
        <v>255</v>
      </c>
      <c r="CL150" s="3">
        <v>4569</v>
      </c>
      <c r="CM150" s="3" t="s">
        <v>161</v>
      </c>
      <c r="CN150" s="3">
        <v>4571</v>
      </c>
      <c r="CO150" s="3" t="s">
        <v>162</v>
      </c>
      <c r="CP150" s="3">
        <v>12345</v>
      </c>
      <c r="CQ150" s="3" t="s">
        <v>163</v>
      </c>
      <c r="CR150" s="246" t="s">
        <v>164</v>
      </c>
      <c r="CS150" s="5" t="s">
        <v>165</v>
      </c>
      <c r="CT150" s="246" t="s">
        <v>256</v>
      </c>
      <c r="CU150" s="247" t="s">
        <v>257</v>
      </c>
      <c r="CV150" s="3" t="str">
        <f t="shared" si="126"/>
        <v>67890;86672</v>
      </c>
      <c r="CW150" s="3" t="s">
        <v>168</v>
      </c>
      <c r="CX150" s="3" t="str">
        <f t="shared" si="127"/>
        <v>AB150;;BB150:BD150;BU150;BX150</v>
      </c>
      <c r="CY150" s="5" t="str">
        <f t="shared" si="128"/>
        <v>Unlock</v>
      </c>
      <c r="CZ150" s="5" t="str">
        <f t="shared" si="129"/>
        <v>Lock</v>
      </c>
      <c r="DA150" s="5" t="str">
        <f t="shared" si="130"/>
        <v>Lock</v>
      </c>
      <c r="DB150" s="5" t="str">
        <f t="shared" si="131"/>
        <v>Lock</v>
      </c>
      <c r="DC150" s="5" t="str">
        <f t="shared" si="132"/>
        <v>Lock</v>
      </c>
      <c r="DD150" s="78">
        <f t="shared" si="133"/>
        <v>2</v>
      </c>
      <c r="DE150" s="2"/>
      <c r="DF150" s="2"/>
      <c r="DG150" s="2"/>
      <c r="DH150" s="2"/>
      <c r="DI150" s="2"/>
      <c r="DJ150" s="2"/>
      <c r="DK150" s="5"/>
      <c r="DL150" s="2"/>
      <c r="DM150" s="2"/>
      <c r="DN150" s="2"/>
      <c r="DO150" s="2"/>
      <c r="DP150" s="2"/>
      <c r="DQ150" s="2"/>
      <c r="DR150" s="2"/>
      <c r="DS150" s="2"/>
      <c r="DT150" s="2"/>
      <c r="DU150" s="2"/>
      <c r="DV150" s="2"/>
      <c r="DW150" s="2"/>
      <c r="DX150" s="2"/>
      <c r="DY150" s="2"/>
      <c r="DZ150" s="2"/>
      <c r="EA150" s="2"/>
      <c r="EB150" s="2"/>
      <c r="EC150" s="2"/>
      <c r="ED150" s="2"/>
      <c r="EE150" s="2"/>
      <c r="EF150" s="1"/>
      <c r="EG150" s="98"/>
      <c r="EH150" s="98"/>
      <c r="EI150" s="1"/>
      <c r="EJ150" s="1"/>
      <c r="EK150" s="98"/>
      <c r="EL150" s="1"/>
    </row>
    <row r="151" spans="1:142">
      <c r="A151" s="32">
        <f t="shared" si="92"/>
        <v>9926</v>
      </c>
      <c r="B151" s="3" t="str">
        <f t="shared" si="93"/>
        <v>sv_statement//Statement//Export Statement&amp;PDFID=Arlene Dellinger_9926&amp;SO=Y</v>
      </c>
      <c r="C151" s="5" t="str">
        <f t="shared" si="134"/>
        <v>Statement</v>
      </c>
      <c r="D151" s="5" t="str">
        <f t="shared" si="94"/>
        <v>Arlene Dellinger_9926</v>
      </c>
      <c r="E151" s="5"/>
      <c r="F151" s="5">
        <v>9926</v>
      </c>
      <c r="G151" s="22" t="s">
        <v>451</v>
      </c>
      <c r="H151" s="5" t="s">
        <v>250</v>
      </c>
      <c r="I151" s="5" t="s">
        <v>291</v>
      </c>
      <c r="J151" s="5" t="s">
        <v>252</v>
      </c>
      <c r="K151" s="5" t="s">
        <v>333</v>
      </c>
      <c r="L151" s="31">
        <f t="shared" si="95"/>
        <v>29326</v>
      </c>
      <c r="M151" s="5" t="s">
        <v>334</v>
      </c>
      <c r="N151" s="22" t="s">
        <v>155</v>
      </c>
      <c r="O151" s="100">
        <v>38375</v>
      </c>
      <c r="P151" s="146">
        <f>VLOOKUP(I151,'Job Codes'!$B$2:$I$120,4,FALSE)</f>
        <v>23000</v>
      </c>
      <c r="Q151" s="146">
        <f>VLOOKUP(I151,'Job Codes'!$B$2:$I$120,5,FALSE)</f>
        <v>29900</v>
      </c>
      <c r="R151" s="146">
        <f>VLOOKUP(I151,'Job Codes'!$B$2:$I$120,6,FALSE)</f>
        <v>35880</v>
      </c>
      <c r="S151" s="22" t="s">
        <v>171</v>
      </c>
      <c r="T151" s="146">
        <v>29536</v>
      </c>
      <c r="U151" s="8">
        <f>VLOOKUP(S151,Data!$H$22:$I$25,2,FALSE)*T151</f>
        <v>29536</v>
      </c>
      <c r="V151" s="180">
        <f t="shared" si="96"/>
        <v>0.98782608695652174</v>
      </c>
      <c r="W151" s="180">
        <f t="shared" si="97"/>
        <v>1.232394366197183E-2</v>
      </c>
      <c r="X151" s="22" t="str">
        <f t="shared" si="98"/>
        <v>No</v>
      </c>
      <c r="Y151" s="180">
        <f t="shared" si="99"/>
        <v>0</v>
      </c>
      <c r="Z151" s="146">
        <f t="shared" si="100"/>
        <v>0</v>
      </c>
      <c r="AA151" s="146">
        <f t="shared" si="101"/>
        <v>0</v>
      </c>
      <c r="AB151" s="72"/>
      <c r="AC151" s="146">
        <f>AB151/VLOOKUP(S151,Data!$H$22:$I$25,2,FALSE)</f>
        <v>0</v>
      </c>
      <c r="AD151" s="22" t="s">
        <v>157</v>
      </c>
      <c r="AE151" s="146">
        <f>VLOOKUP(S151,Data!$H$22:$J$25,3,FALSE)*T151</f>
        <v>886.07999999999993</v>
      </c>
      <c r="AF151" s="8">
        <f>VLOOKUP(S151,Data!$H$22:$I$25,2,FALSE)*AE151</f>
        <v>886.07999999999993</v>
      </c>
      <c r="AG151" s="8" t="s">
        <v>178</v>
      </c>
      <c r="AH151" s="23">
        <v>0.02</v>
      </c>
      <c r="AI151" s="72"/>
      <c r="AJ151" s="159">
        <f t="shared" si="102"/>
        <v>0.02</v>
      </c>
      <c r="AK151" s="168">
        <f t="shared" si="135"/>
        <v>590.72</v>
      </c>
      <c r="AL151" s="160">
        <f t="shared" si="136"/>
        <v>590.72</v>
      </c>
      <c r="AM151" s="168">
        <f t="shared" si="103"/>
        <v>30126.720000000001</v>
      </c>
      <c r="AN151" s="160">
        <f t="shared" si="104"/>
        <v>30126.720000000001</v>
      </c>
      <c r="AO151" s="160" t="str">
        <f t="shared" si="137"/>
        <v>No</v>
      </c>
      <c r="AP151" s="146">
        <f>IF(AQ151=0,0,AQ151/VLOOKUP(S151,Data!$H$22:$I$25,2,FALSE))</f>
        <v>0</v>
      </c>
      <c r="AQ151" s="183">
        <f t="shared" si="105"/>
        <v>0</v>
      </c>
      <c r="AR151" s="165">
        <f t="shared" si="106"/>
        <v>590.72</v>
      </c>
      <c r="AS151" s="183">
        <f t="shared" si="107"/>
        <v>590.72</v>
      </c>
      <c r="AT151" s="250">
        <f t="shared" si="108"/>
        <v>0.02</v>
      </c>
      <c r="AU151" s="146">
        <f t="shared" si="109"/>
        <v>30126.720000000001</v>
      </c>
      <c r="AV151" s="8">
        <f t="shared" si="110"/>
        <v>30126.720000000001</v>
      </c>
      <c r="AW151" s="8" t="str">
        <f t="shared" si="111"/>
        <v/>
      </c>
      <c r="AX151" s="180">
        <f t="shared" si="112"/>
        <v>1.0075826086956523</v>
      </c>
      <c r="AY151" s="146">
        <f t="shared" si="113"/>
        <v>0</v>
      </c>
      <c r="AZ151" s="146">
        <f t="shared" si="114"/>
        <v>0</v>
      </c>
      <c r="BA151" s="22" t="s">
        <v>159</v>
      </c>
      <c r="BB151" s="149"/>
      <c r="BC151" s="149"/>
      <c r="BD151" s="144"/>
      <c r="BE151" s="146" t="str">
        <f t="shared" si="115"/>
        <v/>
      </c>
      <c r="BF151" s="8" t="str">
        <f t="shared" si="116"/>
        <v/>
      </c>
      <c r="BG151" s="8" t="str">
        <f>IF(LEN(BC151)&gt;0,VLOOKUP(BC151,'Job Codes'!B144:I262,7,FALSE),"")</f>
        <v/>
      </c>
      <c r="BH151" s="192" t="str">
        <f>IF(LEN(BC151)&gt;0,VLOOKUP(BC151,'Job Codes'!B144:I262,8,FALSE),"")</f>
        <v/>
      </c>
      <c r="BI151" s="192" t="str">
        <f>IF(LEN(BC151)&gt;0,VLOOKUP(BC151,'Job Codes'!$B$2:$J$120,9,FALSE),"")</f>
        <v/>
      </c>
      <c r="BJ151" s="146" t="str">
        <f>IF(LEN(BC151)&gt;0,VLOOKUP(BC151,'Job Codes'!$B$2:$I$120,4,FALSE),"")</f>
        <v/>
      </c>
      <c r="BK151" s="146" t="str">
        <f>IF(LEN(BC151)&gt;0,VLOOKUP(BC151,'Job Codes'!$B$2:$I$120,5,FALSE),"")</f>
        <v/>
      </c>
      <c r="BL151" s="146" t="str">
        <f>IF(LEN(BC151)&gt;0,VLOOKUP(BC151,'Job Codes'!$B$2:$I$120,6,FALSE),"")</f>
        <v/>
      </c>
      <c r="BM151" s="168">
        <f t="shared" si="117"/>
        <v>30126.720000000001</v>
      </c>
      <c r="BN151" s="160">
        <f t="shared" si="118"/>
        <v>30126.720000000001</v>
      </c>
      <c r="BO151" s="22" t="s">
        <v>159</v>
      </c>
      <c r="BP151" s="157">
        <f>VLOOKUP(I151,'Job Codes'!$B$2:$I$120,8,FALSE)</f>
        <v>0</v>
      </c>
      <c r="BQ151" s="25" t="str">
        <f>IF(O151&gt;Data!$H$33,"Yes","No")</f>
        <v>No</v>
      </c>
      <c r="BR151" s="191">
        <v>0</v>
      </c>
      <c r="BS151" s="150">
        <f t="shared" si="119"/>
        <v>0</v>
      </c>
      <c r="BT151" s="25">
        <f t="shared" si="120"/>
        <v>0</v>
      </c>
      <c r="BU151" s="161">
        <v>1</v>
      </c>
      <c r="BV151" s="168">
        <f t="shared" si="121"/>
        <v>0</v>
      </c>
      <c r="BW151" s="160">
        <f t="shared" si="122"/>
        <v>0</v>
      </c>
      <c r="BX151" s="149"/>
      <c r="BY151" s="32">
        <f t="shared" si="123"/>
        <v>0</v>
      </c>
      <c r="BZ151" s="22" t="s">
        <v>159</v>
      </c>
      <c r="CA151" s="231">
        <f>VLOOKUP(I151,'Job Codes'!$B$2:$J$120,9,FALSE)</f>
        <v>0</v>
      </c>
      <c r="CB151" s="253">
        <f t="shared" si="124"/>
        <v>0</v>
      </c>
      <c r="CC151" s="72"/>
      <c r="CD151" s="25" t="str">
        <f t="shared" si="125"/>
        <v>Meets</v>
      </c>
      <c r="CE151" s="27"/>
      <c r="CF151" s="27"/>
      <c r="CG151" s="27"/>
      <c r="CH151" s="27"/>
      <c r="CI151" s="27"/>
      <c r="CJ151" s="3">
        <v>29271</v>
      </c>
      <c r="CK151" s="3" t="s">
        <v>255</v>
      </c>
      <c r="CL151" s="3">
        <v>4569</v>
      </c>
      <c r="CM151" s="3" t="s">
        <v>161</v>
      </c>
      <c r="CN151" s="3">
        <v>4571</v>
      </c>
      <c r="CO151" s="3" t="s">
        <v>162</v>
      </c>
      <c r="CP151" s="3">
        <v>12345</v>
      </c>
      <c r="CQ151" s="3" t="s">
        <v>163</v>
      </c>
      <c r="CR151" s="246" t="s">
        <v>164</v>
      </c>
      <c r="CS151" s="5" t="s">
        <v>165</v>
      </c>
      <c r="CT151" s="246" t="s">
        <v>256</v>
      </c>
      <c r="CU151" s="247" t="s">
        <v>257</v>
      </c>
      <c r="CV151" s="3" t="str">
        <f t="shared" si="126"/>
        <v>67890;86672</v>
      </c>
      <c r="CW151" s="3" t="s">
        <v>168</v>
      </c>
      <c r="CX151" s="3" t="str">
        <f t="shared" si="127"/>
        <v>AB151;;BB151:BD151;BU151;BX151</v>
      </c>
      <c r="CY151" s="5" t="str">
        <f t="shared" si="128"/>
        <v>Unlock</v>
      </c>
      <c r="CZ151" s="5" t="str">
        <f t="shared" si="129"/>
        <v>Lock</v>
      </c>
      <c r="DA151" s="5" t="str">
        <f t="shared" si="130"/>
        <v>Lock</v>
      </c>
      <c r="DB151" s="5" t="str">
        <f t="shared" si="131"/>
        <v>Lock</v>
      </c>
      <c r="DC151" s="5" t="str">
        <f t="shared" si="132"/>
        <v>Lock</v>
      </c>
      <c r="DD151" s="78">
        <f t="shared" si="133"/>
        <v>2</v>
      </c>
      <c r="DE151" s="2"/>
      <c r="DF151" s="2"/>
      <c r="DG151" s="2"/>
      <c r="DH151" s="2"/>
      <c r="DI151" s="2"/>
      <c r="DJ151" s="2"/>
      <c r="DK151" s="5"/>
      <c r="DL151" s="2"/>
      <c r="DM151" s="2"/>
      <c r="DN151" s="2"/>
      <c r="DO151" s="2"/>
      <c r="DP151" s="2"/>
      <c r="DQ151" s="2"/>
      <c r="DR151" s="2"/>
      <c r="DS151" s="2"/>
      <c r="DT151" s="2"/>
      <c r="DU151" s="2"/>
      <c r="DV151" s="2"/>
      <c r="DW151" s="2"/>
      <c r="DX151" s="2"/>
      <c r="DY151" s="2"/>
      <c r="DZ151" s="2"/>
      <c r="EA151" s="2"/>
      <c r="EB151" s="2"/>
      <c r="EC151" s="2"/>
      <c r="ED151" s="2"/>
      <c r="EE151" s="2"/>
      <c r="EF151" s="1"/>
      <c r="EG151" s="98"/>
      <c r="EH151" s="98"/>
      <c r="EI151" s="1"/>
      <c r="EJ151" s="1"/>
      <c r="EK151" s="98"/>
      <c r="EL151" s="1"/>
    </row>
    <row r="152" spans="1:142">
      <c r="A152" s="32">
        <f t="shared" si="92"/>
        <v>9933</v>
      </c>
      <c r="B152" s="3" t="str">
        <f t="shared" si="93"/>
        <v>sv_statement//Statement//Export Statement&amp;PDFID=Kristy Shin_9933&amp;SO=Y</v>
      </c>
      <c r="C152" s="5" t="str">
        <f t="shared" si="134"/>
        <v>Statement</v>
      </c>
      <c r="D152" s="5" t="str">
        <f t="shared" si="94"/>
        <v>Kristy Shin_9933</v>
      </c>
      <c r="E152" s="5"/>
      <c r="F152" s="5">
        <v>9933</v>
      </c>
      <c r="G152" s="22" t="s">
        <v>452</v>
      </c>
      <c r="H152" s="5" t="s">
        <v>367</v>
      </c>
      <c r="I152" s="5" t="s">
        <v>421</v>
      </c>
      <c r="J152" s="5" t="s">
        <v>252</v>
      </c>
      <c r="K152" s="5" t="s">
        <v>333</v>
      </c>
      <c r="L152" s="31">
        <f t="shared" si="95"/>
        <v>29326</v>
      </c>
      <c r="M152" s="5" t="s">
        <v>334</v>
      </c>
      <c r="N152" s="22" t="s">
        <v>155</v>
      </c>
      <c r="O152" s="100">
        <v>38376</v>
      </c>
      <c r="P152" s="146">
        <f>VLOOKUP(I152,'Job Codes'!$B$2:$I$120,4,FALSE)</f>
        <v>26500</v>
      </c>
      <c r="Q152" s="146">
        <f>VLOOKUP(I152,'Job Codes'!$B$2:$I$120,5,FALSE)</f>
        <v>34450</v>
      </c>
      <c r="R152" s="146">
        <f>VLOOKUP(I152,'Job Codes'!$B$2:$I$120,6,FALSE)</f>
        <v>41340</v>
      </c>
      <c r="S152" s="22" t="s">
        <v>171</v>
      </c>
      <c r="T152" s="146">
        <v>32406</v>
      </c>
      <c r="U152" s="8">
        <f>VLOOKUP(S152,Data!$H$22:$I$25,2,FALSE)*T152</f>
        <v>32406</v>
      </c>
      <c r="V152" s="180">
        <f t="shared" si="96"/>
        <v>0.94066763425253996</v>
      </c>
      <c r="W152" s="180">
        <f t="shared" si="97"/>
        <v>6.3074739245818676E-2</v>
      </c>
      <c r="X152" s="22" t="str">
        <f t="shared" si="98"/>
        <v>Yes</v>
      </c>
      <c r="Y152" s="180">
        <f t="shared" si="99"/>
        <v>0.02</v>
      </c>
      <c r="Z152" s="146">
        <f t="shared" si="100"/>
        <v>648.12</v>
      </c>
      <c r="AA152" s="146">
        <f t="shared" si="101"/>
        <v>648.12</v>
      </c>
      <c r="AB152" s="72"/>
      <c r="AC152" s="146">
        <f>AB152/VLOOKUP(S152,Data!$H$22:$I$25,2,FALSE)</f>
        <v>0</v>
      </c>
      <c r="AD152" s="22" t="s">
        <v>157</v>
      </c>
      <c r="AE152" s="146">
        <f>VLOOKUP(S152,Data!$H$22:$J$25,3,FALSE)*T152</f>
        <v>972.18</v>
      </c>
      <c r="AF152" s="8">
        <f>VLOOKUP(S152,Data!$H$22:$I$25,2,FALSE)*AE152</f>
        <v>972.18</v>
      </c>
      <c r="AG152" s="8" t="s">
        <v>178</v>
      </c>
      <c r="AH152" s="23">
        <v>1.4999999999999999E-2</v>
      </c>
      <c r="AI152" s="72"/>
      <c r="AJ152" s="159">
        <f t="shared" si="102"/>
        <v>1.4999999999999999E-2</v>
      </c>
      <c r="AK152" s="168">
        <f t="shared" si="135"/>
        <v>486.09</v>
      </c>
      <c r="AL152" s="160">
        <f t="shared" si="136"/>
        <v>486.09</v>
      </c>
      <c r="AM152" s="168">
        <f t="shared" si="103"/>
        <v>32892.089999999997</v>
      </c>
      <c r="AN152" s="160">
        <f t="shared" si="104"/>
        <v>32892.089999999997</v>
      </c>
      <c r="AO152" s="160" t="str">
        <f t="shared" si="137"/>
        <v>No</v>
      </c>
      <c r="AP152" s="146">
        <f>IF(AQ152=0,0,AQ152/VLOOKUP(S152,Data!$H$22:$I$25,2,FALSE))</f>
        <v>0</v>
      </c>
      <c r="AQ152" s="183">
        <f t="shared" si="105"/>
        <v>0</v>
      </c>
      <c r="AR152" s="165">
        <f t="shared" si="106"/>
        <v>486.09</v>
      </c>
      <c r="AS152" s="183">
        <f t="shared" si="107"/>
        <v>486.09</v>
      </c>
      <c r="AT152" s="250">
        <f t="shared" si="108"/>
        <v>1.4999999999999999E-2</v>
      </c>
      <c r="AU152" s="146">
        <f t="shared" si="109"/>
        <v>32892.089999999997</v>
      </c>
      <c r="AV152" s="8">
        <f t="shared" si="110"/>
        <v>32892.089999999997</v>
      </c>
      <c r="AW152" s="8" t="str">
        <f t="shared" si="111"/>
        <v/>
      </c>
      <c r="AX152" s="180">
        <f t="shared" si="112"/>
        <v>0.95477764876632787</v>
      </c>
      <c r="AY152" s="146">
        <f t="shared" si="113"/>
        <v>0</v>
      </c>
      <c r="AZ152" s="146">
        <f t="shared" si="114"/>
        <v>0</v>
      </c>
      <c r="BA152" s="22" t="s">
        <v>159</v>
      </c>
      <c r="BB152" s="149"/>
      <c r="BC152" s="149"/>
      <c r="BD152" s="144"/>
      <c r="BE152" s="146" t="str">
        <f t="shared" si="115"/>
        <v/>
      </c>
      <c r="BF152" s="8" t="str">
        <f t="shared" si="116"/>
        <v/>
      </c>
      <c r="BG152" s="8" t="str">
        <f>IF(LEN(BC152)&gt;0,VLOOKUP(BC152,'Job Codes'!B145:I263,7,FALSE),"")</f>
        <v/>
      </c>
      <c r="BH152" s="192" t="str">
        <f>IF(LEN(BC152)&gt;0,VLOOKUP(BC152,'Job Codes'!B145:I263,8,FALSE),"")</f>
        <v/>
      </c>
      <c r="BI152" s="192" t="str">
        <f>IF(LEN(BC152)&gt;0,VLOOKUP(BC152,'Job Codes'!$B$2:$J$120,9,FALSE),"")</f>
        <v/>
      </c>
      <c r="BJ152" s="146" t="str">
        <f>IF(LEN(BC152)&gt;0,VLOOKUP(BC152,'Job Codes'!$B$2:$I$120,4,FALSE),"")</f>
        <v/>
      </c>
      <c r="BK152" s="146" t="str">
        <f>IF(LEN(BC152)&gt;0,VLOOKUP(BC152,'Job Codes'!$B$2:$I$120,5,FALSE),"")</f>
        <v/>
      </c>
      <c r="BL152" s="146" t="str">
        <f>IF(LEN(BC152)&gt;0,VLOOKUP(BC152,'Job Codes'!$B$2:$I$120,6,FALSE),"")</f>
        <v/>
      </c>
      <c r="BM152" s="168">
        <f t="shared" si="117"/>
        <v>32892.089999999997</v>
      </c>
      <c r="BN152" s="160">
        <f t="shared" si="118"/>
        <v>32892.089999999997</v>
      </c>
      <c r="BO152" s="22" t="s">
        <v>157</v>
      </c>
      <c r="BP152" s="157">
        <f>VLOOKUP(I152,'Job Codes'!$B$2:$I$120,8,FALSE)</f>
        <v>0.05</v>
      </c>
      <c r="BQ152" s="25" t="str">
        <f>IF(O152&gt;Data!$H$33,"Yes","No")</f>
        <v>No</v>
      </c>
      <c r="BR152" s="191">
        <v>0.05</v>
      </c>
      <c r="BS152" s="150">
        <f t="shared" si="119"/>
        <v>1620.3000000000002</v>
      </c>
      <c r="BT152" s="25">
        <f t="shared" si="120"/>
        <v>1620.3000000000002</v>
      </c>
      <c r="BU152" s="161">
        <v>1</v>
      </c>
      <c r="BV152" s="168">
        <f t="shared" si="121"/>
        <v>1620.3000000000002</v>
      </c>
      <c r="BW152" s="160">
        <f t="shared" si="122"/>
        <v>1620.3000000000002</v>
      </c>
      <c r="BX152" s="149"/>
      <c r="BY152" s="32">
        <f t="shared" si="123"/>
        <v>0</v>
      </c>
      <c r="BZ152" s="22" t="s">
        <v>159</v>
      </c>
      <c r="CA152" s="231">
        <f>VLOOKUP(I152,'Job Codes'!$B$2:$J$120,9,FALSE)</f>
        <v>0</v>
      </c>
      <c r="CB152" s="253">
        <f t="shared" si="124"/>
        <v>0</v>
      </c>
      <c r="CC152" s="72"/>
      <c r="CD152" s="25" t="str">
        <f t="shared" si="125"/>
        <v>Meets</v>
      </c>
      <c r="CE152" s="27"/>
      <c r="CF152" s="27"/>
      <c r="CG152" s="27"/>
      <c r="CH152" s="27"/>
      <c r="CI152" s="27"/>
      <c r="CJ152" s="3">
        <v>29271</v>
      </c>
      <c r="CK152" s="3" t="s">
        <v>255</v>
      </c>
      <c r="CL152" s="3">
        <v>4569</v>
      </c>
      <c r="CM152" s="3" t="s">
        <v>161</v>
      </c>
      <c r="CN152" s="3">
        <v>4571</v>
      </c>
      <c r="CO152" s="3" t="s">
        <v>162</v>
      </c>
      <c r="CP152" s="3">
        <v>12345</v>
      </c>
      <c r="CQ152" s="3" t="s">
        <v>163</v>
      </c>
      <c r="CR152" s="246" t="s">
        <v>164</v>
      </c>
      <c r="CS152" s="5" t="s">
        <v>165</v>
      </c>
      <c r="CT152" s="246" t="s">
        <v>256</v>
      </c>
      <c r="CU152" s="247" t="s">
        <v>257</v>
      </c>
      <c r="CV152" s="3" t="str">
        <f t="shared" si="126"/>
        <v>67890;86672</v>
      </c>
      <c r="CW152" s="3" t="s">
        <v>168</v>
      </c>
      <c r="CX152" s="3" t="str">
        <f t="shared" si="127"/>
        <v>;;BB152:BD152;;CC152</v>
      </c>
      <c r="CY152" s="5" t="str">
        <f t="shared" si="128"/>
        <v>Unlock</v>
      </c>
      <c r="CZ152" s="5" t="str">
        <f t="shared" si="129"/>
        <v>Lock</v>
      </c>
      <c r="DA152" s="5" t="str">
        <f t="shared" si="130"/>
        <v>Lock</v>
      </c>
      <c r="DB152" s="5" t="str">
        <f t="shared" si="131"/>
        <v>Lock</v>
      </c>
      <c r="DC152" s="5" t="str">
        <f t="shared" si="132"/>
        <v>Lock</v>
      </c>
      <c r="DD152" s="78">
        <f t="shared" si="133"/>
        <v>2</v>
      </c>
      <c r="DE152" s="2"/>
      <c r="DF152" s="2"/>
      <c r="DG152" s="2"/>
      <c r="DH152" s="2"/>
      <c r="DI152" s="2"/>
      <c r="DJ152" s="2"/>
      <c r="DK152" s="5"/>
      <c r="DL152" s="2"/>
      <c r="DM152" s="2"/>
      <c r="DN152" s="2"/>
      <c r="DO152" s="2"/>
      <c r="DP152" s="2"/>
      <c r="DQ152" s="2"/>
      <c r="DR152" s="2"/>
      <c r="DS152" s="2"/>
      <c r="DT152" s="2"/>
      <c r="DU152" s="2"/>
      <c r="DV152" s="2"/>
      <c r="DW152" s="2"/>
      <c r="DX152" s="2"/>
      <c r="DY152" s="2"/>
      <c r="DZ152" s="2"/>
      <c r="EA152" s="2"/>
      <c r="EB152" s="2"/>
      <c r="EC152" s="2"/>
      <c r="ED152" s="2"/>
      <c r="EE152" s="2"/>
      <c r="EF152" s="1"/>
      <c r="EG152" s="98"/>
      <c r="EH152" s="98"/>
      <c r="EI152" s="1"/>
      <c r="EJ152" s="1"/>
      <c r="EK152" s="98"/>
      <c r="EL152" s="1"/>
    </row>
    <row r="153" spans="1:142">
      <c r="A153" s="32">
        <f t="shared" si="92"/>
        <v>9962</v>
      </c>
      <c r="B153" s="3" t="str">
        <f t="shared" si="93"/>
        <v>sv_statement//Statement//Export Statement&amp;PDFID=Gladys Mcclain_9962&amp;SO=Y</v>
      </c>
      <c r="C153" s="5" t="str">
        <f t="shared" si="134"/>
        <v>Statement</v>
      </c>
      <c r="D153" s="5" t="str">
        <f t="shared" si="94"/>
        <v>Gladys Mcclain_9962</v>
      </c>
      <c r="E153" s="5"/>
      <c r="F153" s="5">
        <v>9962</v>
      </c>
      <c r="G153" s="22" t="s">
        <v>453</v>
      </c>
      <c r="H153" s="5" t="s">
        <v>367</v>
      </c>
      <c r="I153" s="5" t="s">
        <v>425</v>
      </c>
      <c r="J153" s="5" t="s">
        <v>252</v>
      </c>
      <c r="K153" s="5" t="s">
        <v>333</v>
      </c>
      <c r="L153" s="31">
        <f t="shared" si="95"/>
        <v>29326</v>
      </c>
      <c r="M153" s="5" t="s">
        <v>334</v>
      </c>
      <c r="N153" s="22" t="s">
        <v>155</v>
      </c>
      <c r="O153" s="100">
        <v>38376</v>
      </c>
      <c r="P153" s="146">
        <f>VLOOKUP(I153,'Job Codes'!$B$2:$I$120,4,FALSE)</f>
        <v>26500</v>
      </c>
      <c r="Q153" s="146">
        <f>VLOOKUP(I153,'Job Codes'!$B$2:$I$120,5,FALSE)</f>
        <v>34450</v>
      </c>
      <c r="R153" s="146">
        <f>VLOOKUP(I153,'Job Codes'!$B$2:$I$120,6,FALSE)</f>
        <v>41340</v>
      </c>
      <c r="S153" s="22" t="s">
        <v>171</v>
      </c>
      <c r="T153" s="146">
        <v>29536</v>
      </c>
      <c r="U153" s="8">
        <f>VLOOKUP(S153,Data!$H$22:$I$25,2,FALSE)*T153</f>
        <v>29536</v>
      </c>
      <c r="V153" s="180">
        <f t="shared" si="96"/>
        <v>0.85735849056603775</v>
      </c>
      <c r="W153" s="180">
        <f t="shared" si="97"/>
        <v>0.16637323943661972</v>
      </c>
      <c r="X153" s="22" t="str">
        <f t="shared" si="98"/>
        <v>Yes</v>
      </c>
      <c r="Y153" s="180">
        <f t="shared" si="99"/>
        <v>0.02</v>
      </c>
      <c r="Z153" s="146">
        <f t="shared" si="100"/>
        <v>590.72</v>
      </c>
      <c r="AA153" s="146">
        <f t="shared" si="101"/>
        <v>590.72</v>
      </c>
      <c r="AB153" s="72"/>
      <c r="AC153" s="146">
        <f>AB153/VLOOKUP(S153,Data!$H$22:$I$25,2,FALSE)</f>
        <v>0</v>
      </c>
      <c r="AD153" s="22" t="s">
        <v>157</v>
      </c>
      <c r="AE153" s="146">
        <f>VLOOKUP(S153,Data!$H$22:$J$25,3,FALSE)*T153</f>
        <v>886.07999999999993</v>
      </c>
      <c r="AF153" s="8">
        <f>VLOOKUP(S153,Data!$H$22:$I$25,2,FALSE)*AE153</f>
        <v>886.07999999999993</v>
      </c>
      <c r="AG153" s="8" t="s">
        <v>178</v>
      </c>
      <c r="AH153" s="23">
        <v>0.02</v>
      </c>
      <c r="AI153" s="72"/>
      <c r="AJ153" s="159">
        <f t="shared" si="102"/>
        <v>0.02</v>
      </c>
      <c r="AK153" s="168">
        <f t="shared" si="135"/>
        <v>590.72</v>
      </c>
      <c r="AL153" s="160">
        <f t="shared" si="136"/>
        <v>590.72</v>
      </c>
      <c r="AM153" s="168">
        <f t="shared" si="103"/>
        <v>30126.720000000001</v>
      </c>
      <c r="AN153" s="160">
        <f t="shared" si="104"/>
        <v>30126.720000000001</v>
      </c>
      <c r="AO153" s="160" t="str">
        <f t="shared" si="137"/>
        <v>No</v>
      </c>
      <c r="AP153" s="146">
        <f>IF(AQ153=0,0,AQ153/VLOOKUP(S153,Data!$H$22:$I$25,2,FALSE))</f>
        <v>0</v>
      </c>
      <c r="AQ153" s="183">
        <f t="shared" si="105"/>
        <v>0</v>
      </c>
      <c r="AR153" s="165">
        <f t="shared" si="106"/>
        <v>590.72</v>
      </c>
      <c r="AS153" s="183">
        <f t="shared" si="107"/>
        <v>590.72</v>
      </c>
      <c r="AT153" s="250">
        <f t="shared" si="108"/>
        <v>0.02</v>
      </c>
      <c r="AU153" s="146">
        <f t="shared" si="109"/>
        <v>30126.720000000001</v>
      </c>
      <c r="AV153" s="8">
        <f t="shared" si="110"/>
        <v>30126.720000000001</v>
      </c>
      <c r="AW153" s="8" t="str">
        <f t="shared" si="111"/>
        <v/>
      </c>
      <c r="AX153" s="180">
        <f t="shared" si="112"/>
        <v>0.87450566037735855</v>
      </c>
      <c r="AY153" s="146">
        <f t="shared" si="113"/>
        <v>0</v>
      </c>
      <c r="AZ153" s="146">
        <f t="shared" si="114"/>
        <v>0</v>
      </c>
      <c r="BA153" s="22" t="s">
        <v>159</v>
      </c>
      <c r="BB153" s="149"/>
      <c r="BC153" s="149"/>
      <c r="BD153" s="144"/>
      <c r="BE153" s="146" t="str">
        <f t="shared" si="115"/>
        <v/>
      </c>
      <c r="BF153" s="8" t="str">
        <f t="shared" si="116"/>
        <v/>
      </c>
      <c r="BG153" s="8" t="str">
        <f>IF(LEN(BC153)&gt;0,VLOOKUP(BC153,'Job Codes'!B146:I264,7,FALSE),"")</f>
        <v/>
      </c>
      <c r="BH153" s="192" t="str">
        <f>IF(LEN(BC153)&gt;0,VLOOKUP(BC153,'Job Codes'!B146:I264,8,FALSE),"")</f>
        <v/>
      </c>
      <c r="BI153" s="192" t="str">
        <f>IF(LEN(BC153)&gt;0,VLOOKUP(BC153,'Job Codes'!$B$2:$J$120,9,FALSE),"")</f>
        <v/>
      </c>
      <c r="BJ153" s="146" t="str">
        <f>IF(LEN(BC153)&gt;0,VLOOKUP(BC153,'Job Codes'!$B$2:$I$120,4,FALSE),"")</f>
        <v/>
      </c>
      <c r="BK153" s="146" t="str">
        <f>IF(LEN(BC153)&gt;0,VLOOKUP(BC153,'Job Codes'!$B$2:$I$120,5,FALSE),"")</f>
        <v/>
      </c>
      <c r="BL153" s="146" t="str">
        <f>IF(LEN(BC153)&gt;0,VLOOKUP(BC153,'Job Codes'!$B$2:$I$120,6,FALSE),"")</f>
        <v/>
      </c>
      <c r="BM153" s="168">
        <f t="shared" si="117"/>
        <v>30126.720000000001</v>
      </c>
      <c r="BN153" s="160">
        <f t="shared" si="118"/>
        <v>30126.720000000001</v>
      </c>
      <c r="BO153" s="22" t="s">
        <v>157</v>
      </c>
      <c r="BP153" s="157">
        <f>VLOOKUP(I153,'Job Codes'!$B$2:$I$120,8,FALSE)</f>
        <v>0.05</v>
      </c>
      <c r="BQ153" s="25" t="str">
        <f>IF(O153&gt;Data!$H$33,"Yes","No")</f>
        <v>No</v>
      </c>
      <c r="BR153" s="191">
        <v>0.05</v>
      </c>
      <c r="BS153" s="150">
        <f t="shared" si="119"/>
        <v>1476.8000000000002</v>
      </c>
      <c r="BT153" s="25">
        <f t="shared" si="120"/>
        <v>1476.8000000000002</v>
      </c>
      <c r="BU153" s="161">
        <v>1</v>
      </c>
      <c r="BV153" s="168">
        <f t="shared" si="121"/>
        <v>1476.8000000000002</v>
      </c>
      <c r="BW153" s="160">
        <f t="shared" si="122"/>
        <v>1476.8000000000002</v>
      </c>
      <c r="BX153" s="149"/>
      <c r="BY153" s="32">
        <f t="shared" si="123"/>
        <v>0</v>
      </c>
      <c r="BZ153" s="22" t="s">
        <v>159</v>
      </c>
      <c r="CA153" s="231">
        <f>VLOOKUP(I153,'Job Codes'!$B$2:$J$120,9,FALSE)</f>
        <v>0</v>
      </c>
      <c r="CB153" s="253">
        <f t="shared" si="124"/>
        <v>0</v>
      </c>
      <c r="CC153" s="72"/>
      <c r="CD153" s="25" t="str">
        <f t="shared" si="125"/>
        <v>Meets</v>
      </c>
      <c r="CE153" s="27"/>
      <c r="CF153" s="27"/>
      <c r="CG153" s="27"/>
      <c r="CH153" s="27"/>
      <c r="CI153" s="27"/>
      <c r="CJ153" s="3">
        <v>29271</v>
      </c>
      <c r="CK153" s="3" t="s">
        <v>255</v>
      </c>
      <c r="CL153" s="3">
        <v>4569</v>
      </c>
      <c r="CM153" s="3" t="s">
        <v>161</v>
      </c>
      <c r="CN153" s="3">
        <v>4571</v>
      </c>
      <c r="CO153" s="3" t="s">
        <v>162</v>
      </c>
      <c r="CP153" s="3">
        <v>12345</v>
      </c>
      <c r="CQ153" s="3" t="s">
        <v>163</v>
      </c>
      <c r="CR153" s="246" t="s">
        <v>164</v>
      </c>
      <c r="CS153" s="5" t="s">
        <v>165</v>
      </c>
      <c r="CT153" s="246" t="s">
        <v>256</v>
      </c>
      <c r="CU153" s="247" t="s">
        <v>257</v>
      </c>
      <c r="CV153" s="3" t="str">
        <f t="shared" si="126"/>
        <v>67890;86672</v>
      </c>
      <c r="CW153" s="3" t="s">
        <v>168</v>
      </c>
      <c r="CX153" s="3" t="str">
        <f t="shared" si="127"/>
        <v>;;BB153:BD153;;CC153</v>
      </c>
      <c r="CY153" s="5" t="str">
        <f t="shared" si="128"/>
        <v>Unlock</v>
      </c>
      <c r="CZ153" s="5" t="str">
        <f t="shared" si="129"/>
        <v>Lock</v>
      </c>
      <c r="DA153" s="5" t="str">
        <f t="shared" si="130"/>
        <v>Lock</v>
      </c>
      <c r="DB153" s="5" t="str">
        <f t="shared" si="131"/>
        <v>Lock</v>
      </c>
      <c r="DC153" s="5" t="str">
        <f t="shared" si="132"/>
        <v>Lock</v>
      </c>
      <c r="DD153" s="78">
        <f t="shared" si="133"/>
        <v>2</v>
      </c>
      <c r="DE153" s="2"/>
      <c r="DF153" s="2"/>
      <c r="DG153" s="2"/>
      <c r="DH153" s="2"/>
      <c r="DI153" s="2"/>
      <c r="DJ153" s="2"/>
      <c r="DK153" s="5"/>
      <c r="DL153" s="2"/>
      <c r="DM153" s="2"/>
      <c r="DN153" s="2"/>
      <c r="DO153" s="2"/>
      <c r="DP153" s="2"/>
      <c r="DQ153" s="2"/>
      <c r="DR153" s="2"/>
      <c r="DS153" s="2"/>
      <c r="DT153" s="2"/>
      <c r="DU153" s="2"/>
      <c r="DV153" s="2"/>
      <c r="DW153" s="2"/>
      <c r="DX153" s="2"/>
      <c r="DY153" s="2"/>
      <c r="DZ153" s="2"/>
      <c r="EA153" s="2"/>
      <c r="EB153" s="2"/>
      <c r="EC153" s="2"/>
      <c r="ED153" s="2"/>
      <c r="EE153" s="2"/>
      <c r="EF153" s="1"/>
      <c r="EG153" s="98"/>
      <c r="EH153" s="98"/>
      <c r="EI153" s="1"/>
      <c r="EJ153" s="1"/>
      <c r="EK153" s="98"/>
      <c r="EL153" s="1"/>
    </row>
    <row r="154" spans="1:142">
      <c r="A154" s="32">
        <f t="shared" si="92"/>
        <v>9989</v>
      </c>
      <c r="B154" s="3" t="str">
        <f t="shared" si="93"/>
        <v>sv_statement//Statement//Export Statement&amp;PDFID=Steven Echeverria_9989&amp;SO=Y</v>
      </c>
      <c r="C154" s="5" t="str">
        <f t="shared" si="134"/>
        <v>Statement</v>
      </c>
      <c r="D154" s="5" t="str">
        <f t="shared" si="94"/>
        <v>Steven Echeverria_9989</v>
      </c>
      <c r="E154" s="5"/>
      <c r="F154" s="5">
        <v>9989</v>
      </c>
      <c r="G154" s="22" t="s">
        <v>454</v>
      </c>
      <c r="H154" s="5" t="s">
        <v>367</v>
      </c>
      <c r="I154" s="5" t="s">
        <v>436</v>
      </c>
      <c r="J154" s="5" t="s">
        <v>252</v>
      </c>
      <c r="K154" s="5" t="s">
        <v>333</v>
      </c>
      <c r="L154" s="31">
        <f t="shared" si="95"/>
        <v>29326</v>
      </c>
      <c r="M154" s="5" t="s">
        <v>334</v>
      </c>
      <c r="N154" s="22" t="s">
        <v>155</v>
      </c>
      <c r="O154" s="100">
        <v>38383</v>
      </c>
      <c r="P154" s="146">
        <f>VLOOKUP(I154,'Job Codes'!$B$2:$I$120,4,FALSE)</f>
        <v>33000</v>
      </c>
      <c r="Q154" s="146">
        <f>VLOOKUP(I154,'Job Codes'!$B$2:$I$120,5,FALSE)</f>
        <v>42900</v>
      </c>
      <c r="R154" s="146">
        <f>VLOOKUP(I154,'Job Codes'!$B$2:$I$120,6,FALSE)</f>
        <v>51480</v>
      </c>
      <c r="S154" s="22" t="s">
        <v>171</v>
      </c>
      <c r="T154" s="146">
        <v>30846</v>
      </c>
      <c r="U154" s="8">
        <f>VLOOKUP(S154,Data!$H$22:$I$25,2,FALSE)*T154</f>
        <v>30846</v>
      </c>
      <c r="V154" s="180">
        <f t="shared" si="96"/>
        <v>0.71902097902097906</v>
      </c>
      <c r="W154" s="180">
        <f t="shared" si="97"/>
        <v>0.39078000389029371</v>
      </c>
      <c r="X154" s="22" t="str">
        <f t="shared" si="98"/>
        <v>Yes</v>
      </c>
      <c r="Y154" s="180">
        <f t="shared" si="99"/>
        <v>0.02</v>
      </c>
      <c r="Z154" s="146">
        <f t="shared" si="100"/>
        <v>616.91999999999996</v>
      </c>
      <c r="AA154" s="146">
        <f t="shared" si="101"/>
        <v>616.91999999999996</v>
      </c>
      <c r="AB154" s="72"/>
      <c r="AC154" s="146">
        <f>AB154/VLOOKUP(S154,Data!$H$22:$I$25,2,FALSE)</f>
        <v>0</v>
      </c>
      <c r="AD154" s="22" t="s">
        <v>157</v>
      </c>
      <c r="AE154" s="146">
        <f>VLOOKUP(S154,Data!$H$22:$J$25,3,FALSE)*T154</f>
        <v>925.38</v>
      </c>
      <c r="AF154" s="8">
        <f>VLOOKUP(S154,Data!$H$22:$I$25,2,FALSE)*AE154</f>
        <v>925.38</v>
      </c>
      <c r="AG154" s="8" t="s">
        <v>158</v>
      </c>
      <c r="AH154" s="23">
        <v>2.5000000000000001E-2</v>
      </c>
      <c r="AI154" s="72"/>
      <c r="AJ154" s="159">
        <f t="shared" si="102"/>
        <v>2.5000000000000001E-2</v>
      </c>
      <c r="AK154" s="168">
        <f t="shared" si="135"/>
        <v>771.15000000000009</v>
      </c>
      <c r="AL154" s="160">
        <f t="shared" si="136"/>
        <v>771.15000000000009</v>
      </c>
      <c r="AM154" s="168">
        <f t="shared" si="103"/>
        <v>31617.15</v>
      </c>
      <c r="AN154" s="160">
        <f t="shared" si="104"/>
        <v>31617.15</v>
      </c>
      <c r="AO154" s="160" t="str">
        <f t="shared" si="137"/>
        <v>No</v>
      </c>
      <c r="AP154" s="146">
        <f>IF(AQ154=0,0,AQ154/VLOOKUP(S154,Data!$H$22:$I$25,2,FALSE))</f>
        <v>0</v>
      </c>
      <c r="AQ154" s="183">
        <f t="shared" si="105"/>
        <v>0</v>
      </c>
      <c r="AR154" s="165">
        <f t="shared" si="106"/>
        <v>771.15000000000009</v>
      </c>
      <c r="AS154" s="183">
        <f t="shared" si="107"/>
        <v>771.15000000000009</v>
      </c>
      <c r="AT154" s="250">
        <f t="shared" si="108"/>
        <v>2.5000000000000001E-2</v>
      </c>
      <c r="AU154" s="146">
        <f t="shared" si="109"/>
        <v>31617.15</v>
      </c>
      <c r="AV154" s="8">
        <f t="shared" si="110"/>
        <v>31617.15</v>
      </c>
      <c r="AW154" s="8" t="str">
        <f t="shared" si="111"/>
        <v/>
      </c>
      <c r="AX154" s="180">
        <f t="shared" si="112"/>
        <v>0.73699650349650359</v>
      </c>
      <c r="AY154" s="146">
        <f t="shared" si="113"/>
        <v>0</v>
      </c>
      <c r="AZ154" s="146">
        <f t="shared" si="114"/>
        <v>0</v>
      </c>
      <c r="BA154" s="22" t="s">
        <v>159</v>
      </c>
      <c r="BB154" s="149"/>
      <c r="BC154" s="149"/>
      <c r="BD154" s="144"/>
      <c r="BE154" s="146" t="str">
        <f t="shared" si="115"/>
        <v/>
      </c>
      <c r="BF154" s="8" t="str">
        <f t="shared" si="116"/>
        <v/>
      </c>
      <c r="BG154" s="8" t="str">
        <f>IF(LEN(BC154)&gt;0,VLOOKUP(BC154,'Job Codes'!B147:I265,7,FALSE),"")</f>
        <v/>
      </c>
      <c r="BH154" s="192" t="str">
        <f>IF(LEN(BC154)&gt;0,VLOOKUP(BC154,'Job Codes'!B147:I265,8,FALSE),"")</f>
        <v/>
      </c>
      <c r="BI154" s="192" t="str">
        <f>IF(LEN(BC154)&gt;0,VLOOKUP(BC154,'Job Codes'!$B$2:$J$120,9,FALSE),"")</f>
        <v/>
      </c>
      <c r="BJ154" s="146" t="str">
        <f>IF(LEN(BC154)&gt;0,VLOOKUP(BC154,'Job Codes'!$B$2:$I$120,4,FALSE),"")</f>
        <v/>
      </c>
      <c r="BK154" s="146" t="str">
        <f>IF(LEN(BC154)&gt;0,VLOOKUP(BC154,'Job Codes'!$B$2:$I$120,5,FALSE),"")</f>
        <v/>
      </c>
      <c r="BL154" s="146" t="str">
        <f>IF(LEN(BC154)&gt;0,VLOOKUP(BC154,'Job Codes'!$B$2:$I$120,6,FALSE),"")</f>
        <v/>
      </c>
      <c r="BM154" s="168">
        <f t="shared" si="117"/>
        <v>31617.15</v>
      </c>
      <c r="BN154" s="160">
        <f t="shared" si="118"/>
        <v>31617.15</v>
      </c>
      <c r="BO154" s="22" t="s">
        <v>157</v>
      </c>
      <c r="BP154" s="157">
        <f>VLOOKUP(I154,'Job Codes'!$B$2:$I$120,8,FALSE)</f>
        <v>0.1</v>
      </c>
      <c r="BQ154" s="25" t="str">
        <f>IF(O154&gt;Data!$H$33,"Yes","No")</f>
        <v>No</v>
      </c>
      <c r="BR154" s="191">
        <v>0.1</v>
      </c>
      <c r="BS154" s="150">
        <f t="shared" si="119"/>
        <v>3084.6000000000004</v>
      </c>
      <c r="BT154" s="25">
        <f t="shared" si="120"/>
        <v>3084.6000000000004</v>
      </c>
      <c r="BU154" s="161">
        <v>1</v>
      </c>
      <c r="BV154" s="168">
        <f t="shared" si="121"/>
        <v>3084.6000000000004</v>
      </c>
      <c r="BW154" s="160">
        <f t="shared" si="122"/>
        <v>3084.6000000000004</v>
      </c>
      <c r="BX154" s="149"/>
      <c r="BY154" s="32">
        <f t="shared" si="123"/>
        <v>0</v>
      </c>
      <c r="BZ154" s="22" t="s">
        <v>157</v>
      </c>
      <c r="CA154" s="231">
        <f>VLOOKUP(I154,'Job Codes'!$B$2:$J$120,9,FALSE)</f>
        <v>0.1</v>
      </c>
      <c r="CB154" s="253">
        <f t="shared" si="124"/>
        <v>3084.6000000000004</v>
      </c>
      <c r="CC154" s="72"/>
      <c r="CD154" s="25" t="str">
        <f t="shared" si="125"/>
        <v>Exceeds</v>
      </c>
      <c r="CE154" s="27"/>
      <c r="CF154" s="27"/>
      <c r="CG154" s="27"/>
      <c r="CH154" s="27"/>
      <c r="CI154" s="27"/>
      <c r="CJ154" s="3">
        <v>29271</v>
      </c>
      <c r="CK154" s="3" t="s">
        <v>255</v>
      </c>
      <c r="CL154" s="3">
        <v>4569</v>
      </c>
      <c r="CM154" s="3" t="s">
        <v>161</v>
      </c>
      <c r="CN154" s="3">
        <v>4571</v>
      </c>
      <c r="CO154" s="3" t="s">
        <v>162</v>
      </c>
      <c r="CP154" s="3">
        <v>12345</v>
      </c>
      <c r="CQ154" s="3" t="s">
        <v>163</v>
      </c>
      <c r="CR154" s="246" t="s">
        <v>164</v>
      </c>
      <c r="CS154" s="5" t="s">
        <v>165</v>
      </c>
      <c r="CT154" s="246" t="s">
        <v>256</v>
      </c>
      <c r="CU154" s="247" t="s">
        <v>257</v>
      </c>
      <c r="CV154" s="3" t="str">
        <f t="shared" si="126"/>
        <v>67890;86672</v>
      </c>
      <c r="CW154" s="3" t="s">
        <v>168</v>
      </c>
      <c r="CX154" s="3" t="str">
        <f t="shared" si="127"/>
        <v>;;BB154:BD154;;</v>
      </c>
      <c r="CY154" s="5" t="str">
        <f t="shared" si="128"/>
        <v>Unlock</v>
      </c>
      <c r="CZ154" s="5" t="str">
        <f t="shared" si="129"/>
        <v>Lock</v>
      </c>
      <c r="DA154" s="5" t="str">
        <f t="shared" si="130"/>
        <v>Lock</v>
      </c>
      <c r="DB154" s="5" t="str">
        <f t="shared" si="131"/>
        <v>Lock</v>
      </c>
      <c r="DC154" s="5" t="str">
        <f t="shared" si="132"/>
        <v>Lock</v>
      </c>
      <c r="DD154" s="78">
        <f t="shared" si="133"/>
        <v>2</v>
      </c>
      <c r="DE154" s="2"/>
      <c r="DF154" s="2"/>
      <c r="DG154" s="2"/>
      <c r="DH154" s="2"/>
      <c r="DI154" s="2"/>
      <c r="DJ154" s="2"/>
      <c r="DK154" s="5"/>
      <c r="DL154" s="2"/>
      <c r="DM154" s="2"/>
      <c r="DN154" s="2"/>
      <c r="DO154" s="2"/>
      <c r="DP154" s="2"/>
      <c r="DQ154" s="2"/>
      <c r="DR154" s="2"/>
      <c r="DS154" s="2"/>
      <c r="DT154" s="2"/>
      <c r="DU154" s="2"/>
      <c r="DV154" s="2"/>
      <c r="DW154" s="2"/>
      <c r="DX154" s="2"/>
      <c r="DY154" s="2"/>
      <c r="DZ154" s="2"/>
      <c r="EA154" s="2"/>
      <c r="EB154" s="2"/>
      <c r="EC154" s="2"/>
      <c r="ED154" s="2"/>
      <c r="EE154" s="2"/>
      <c r="EF154" s="1"/>
      <c r="EG154" s="98"/>
      <c r="EH154" s="98"/>
      <c r="EI154" s="1"/>
      <c r="EJ154" s="1"/>
      <c r="EK154" s="98"/>
      <c r="EL154" s="1"/>
    </row>
    <row r="155" spans="1:142">
      <c r="A155" s="32">
        <f t="shared" si="92"/>
        <v>10040</v>
      </c>
      <c r="B155" s="3" t="str">
        <f t="shared" si="93"/>
        <v>sv_statement//Statement//Export Statement&amp;PDFID=Jeffrey Mickle_10040&amp;SO=Y</v>
      </c>
      <c r="C155" s="5" t="str">
        <f t="shared" si="134"/>
        <v>Statement</v>
      </c>
      <c r="D155" s="5" t="str">
        <f t="shared" si="94"/>
        <v>Jeffrey Mickle_10040</v>
      </c>
      <c r="E155" s="5"/>
      <c r="F155" s="5">
        <v>10040</v>
      </c>
      <c r="G155" s="22" t="s">
        <v>455</v>
      </c>
      <c r="H155" s="5" t="s">
        <v>296</v>
      </c>
      <c r="I155" s="5" t="s">
        <v>351</v>
      </c>
      <c r="J155" s="5" t="s">
        <v>152</v>
      </c>
      <c r="K155" s="5" t="s">
        <v>153</v>
      </c>
      <c r="L155" s="31">
        <f t="shared" si="95"/>
        <v>11351</v>
      </c>
      <c r="M155" s="5" t="s">
        <v>177</v>
      </c>
      <c r="N155" s="22" t="s">
        <v>155</v>
      </c>
      <c r="O155" s="100">
        <v>35095</v>
      </c>
      <c r="P155" s="146">
        <f>VLOOKUP(I155,'Job Codes'!$B$2:$I$120,4,FALSE)</f>
        <v>26500</v>
      </c>
      <c r="Q155" s="146">
        <f>VLOOKUP(I155,'Job Codes'!$B$2:$I$120,5,FALSE)</f>
        <v>34450</v>
      </c>
      <c r="R155" s="146">
        <f>VLOOKUP(I155,'Job Codes'!$B$2:$I$120,6,FALSE)</f>
        <v>41340</v>
      </c>
      <c r="S155" s="22" t="s">
        <v>171</v>
      </c>
      <c r="T155" s="146">
        <v>36650</v>
      </c>
      <c r="U155" s="8">
        <f>VLOOKUP(S155,Data!$H$22:$I$25,2,FALSE)*T155</f>
        <v>36650</v>
      </c>
      <c r="V155" s="180">
        <f t="shared" si="96"/>
        <v>1.0638606676342526</v>
      </c>
      <c r="W155" s="180">
        <f t="shared" si="97"/>
        <v>0</v>
      </c>
      <c r="X155" s="22" t="str">
        <f t="shared" si="98"/>
        <v>No</v>
      </c>
      <c r="Y155" s="180">
        <f t="shared" si="99"/>
        <v>0</v>
      </c>
      <c r="Z155" s="146">
        <f t="shared" si="100"/>
        <v>0</v>
      </c>
      <c r="AA155" s="146">
        <f t="shared" si="101"/>
        <v>0</v>
      </c>
      <c r="AB155" s="72"/>
      <c r="AC155" s="146">
        <f>AB155/VLOOKUP(S155,Data!$H$22:$I$25,2,FALSE)</f>
        <v>0</v>
      </c>
      <c r="AD155" s="22" t="s">
        <v>157</v>
      </c>
      <c r="AE155" s="146">
        <f>VLOOKUP(S155,Data!$H$22:$J$25,3,FALSE)*T155</f>
        <v>1099.5</v>
      </c>
      <c r="AF155" s="8">
        <f>VLOOKUP(S155,Data!$H$22:$I$25,2,FALSE)*AE155</f>
        <v>1099.5</v>
      </c>
      <c r="AG155" s="8" t="s">
        <v>178</v>
      </c>
      <c r="AH155" s="23">
        <v>2.5000000000000001E-2</v>
      </c>
      <c r="AI155" s="72"/>
      <c r="AJ155" s="159">
        <f t="shared" si="102"/>
        <v>2.5000000000000001E-2</v>
      </c>
      <c r="AK155" s="168">
        <f t="shared" si="135"/>
        <v>916.25</v>
      </c>
      <c r="AL155" s="160">
        <f t="shared" si="136"/>
        <v>916.25</v>
      </c>
      <c r="AM155" s="168">
        <f t="shared" si="103"/>
        <v>37566.25</v>
      </c>
      <c r="AN155" s="160">
        <f t="shared" si="104"/>
        <v>37566.25</v>
      </c>
      <c r="AO155" s="160" t="str">
        <f t="shared" si="137"/>
        <v>No</v>
      </c>
      <c r="AP155" s="146">
        <f>IF(AQ155=0,0,AQ155/VLOOKUP(S155,Data!$H$22:$I$25,2,FALSE))</f>
        <v>0</v>
      </c>
      <c r="AQ155" s="183">
        <f t="shared" si="105"/>
        <v>0</v>
      </c>
      <c r="AR155" s="165">
        <f t="shared" si="106"/>
        <v>916.25</v>
      </c>
      <c r="AS155" s="183">
        <f t="shared" si="107"/>
        <v>916.25</v>
      </c>
      <c r="AT155" s="250">
        <f t="shared" si="108"/>
        <v>2.5000000000000001E-2</v>
      </c>
      <c r="AU155" s="146">
        <f t="shared" si="109"/>
        <v>37566.25</v>
      </c>
      <c r="AV155" s="8">
        <f t="shared" si="110"/>
        <v>37566.25</v>
      </c>
      <c r="AW155" s="8" t="str">
        <f t="shared" si="111"/>
        <v/>
      </c>
      <c r="AX155" s="180">
        <f t="shared" si="112"/>
        <v>1.090457184325109</v>
      </c>
      <c r="AY155" s="146">
        <f t="shared" si="113"/>
        <v>0</v>
      </c>
      <c r="AZ155" s="146">
        <f t="shared" si="114"/>
        <v>0</v>
      </c>
      <c r="BA155" s="22" t="s">
        <v>159</v>
      </c>
      <c r="BB155" s="149"/>
      <c r="BC155" s="149"/>
      <c r="BD155" s="144"/>
      <c r="BE155" s="146" t="str">
        <f t="shared" si="115"/>
        <v/>
      </c>
      <c r="BF155" s="8" t="str">
        <f t="shared" si="116"/>
        <v/>
      </c>
      <c r="BG155" s="8" t="str">
        <f>IF(LEN(BC155)&gt;0,VLOOKUP(BC155,'Job Codes'!B148:I266,7,FALSE),"")</f>
        <v/>
      </c>
      <c r="BH155" s="192" t="str">
        <f>IF(LEN(BC155)&gt;0,VLOOKUP(BC155,'Job Codes'!B148:I266,8,FALSE),"")</f>
        <v/>
      </c>
      <c r="BI155" s="192" t="str">
        <f>IF(LEN(BC155)&gt;0,VLOOKUP(BC155,'Job Codes'!$B$2:$J$120,9,FALSE),"")</f>
        <v/>
      </c>
      <c r="BJ155" s="146" t="str">
        <f>IF(LEN(BC155)&gt;0,VLOOKUP(BC155,'Job Codes'!$B$2:$I$120,4,FALSE),"")</f>
        <v/>
      </c>
      <c r="BK155" s="146" t="str">
        <f>IF(LEN(BC155)&gt;0,VLOOKUP(BC155,'Job Codes'!$B$2:$I$120,5,FALSE),"")</f>
        <v/>
      </c>
      <c r="BL155" s="146" t="str">
        <f>IF(LEN(BC155)&gt;0,VLOOKUP(BC155,'Job Codes'!$B$2:$I$120,6,FALSE),"")</f>
        <v/>
      </c>
      <c r="BM155" s="168">
        <f t="shared" si="117"/>
        <v>37566.25</v>
      </c>
      <c r="BN155" s="160">
        <f t="shared" si="118"/>
        <v>37566.25</v>
      </c>
      <c r="BO155" s="22" t="s">
        <v>157</v>
      </c>
      <c r="BP155" s="157">
        <f>VLOOKUP(I155,'Job Codes'!$B$2:$I$120,8,FALSE)</f>
        <v>0.05</v>
      </c>
      <c r="BQ155" s="25" t="str">
        <f>IF(O155&gt;Data!$H$33,"Yes","No")</f>
        <v>No</v>
      </c>
      <c r="BR155" s="191">
        <v>0.05</v>
      </c>
      <c r="BS155" s="150">
        <f t="shared" si="119"/>
        <v>1832.5</v>
      </c>
      <c r="BT155" s="25">
        <f t="shared" si="120"/>
        <v>1832.5</v>
      </c>
      <c r="BU155" s="161">
        <v>1</v>
      </c>
      <c r="BV155" s="168">
        <f t="shared" si="121"/>
        <v>1832.5</v>
      </c>
      <c r="BW155" s="160">
        <f t="shared" si="122"/>
        <v>1832.5</v>
      </c>
      <c r="BX155" s="149"/>
      <c r="BY155" s="32">
        <f t="shared" si="123"/>
        <v>0</v>
      </c>
      <c r="BZ155" s="22" t="s">
        <v>159</v>
      </c>
      <c r="CA155" s="231">
        <f>VLOOKUP(I155,'Job Codes'!$B$2:$J$120,9,FALSE)</f>
        <v>0</v>
      </c>
      <c r="CB155" s="253">
        <f t="shared" si="124"/>
        <v>0</v>
      </c>
      <c r="CC155" s="72"/>
      <c r="CD155" s="25" t="str">
        <f t="shared" si="125"/>
        <v>Meets</v>
      </c>
      <c r="CE155" s="27"/>
      <c r="CF155" s="27"/>
      <c r="CG155" s="27"/>
      <c r="CH155" s="27"/>
      <c r="CI155" s="27"/>
      <c r="CJ155" s="3">
        <v>11308</v>
      </c>
      <c r="CK155" s="3" t="s">
        <v>154</v>
      </c>
      <c r="CL155" s="3">
        <v>4569</v>
      </c>
      <c r="CM155" s="3" t="s">
        <v>161</v>
      </c>
      <c r="CN155" s="3">
        <v>4571</v>
      </c>
      <c r="CO155" s="3" t="s">
        <v>162</v>
      </c>
      <c r="CP155" s="3">
        <v>12345</v>
      </c>
      <c r="CQ155" s="3" t="s">
        <v>163</v>
      </c>
      <c r="CR155" s="246" t="s">
        <v>179</v>
      </c>
      <c r="CS155" s="247" t="s">
        <v>180</v>
      </c>
      <c r="CT155" s="246" t="s">
        <v>166</v>
      </c>
      <c r="CU155" s="247" t="s">
        <v>167</v>
      </c>
      <c r="CV155" s="3" t="str">
        <f t="shared" si="126"/>
        <v>90876;99485</v>
      </c>
      <c r="CW155" s="3" t="s">
        <v>168</v>
      </c>
      <c r="CX155" s="3" t="str">
        <f t="shared" si="127"/>
        <v>AB155;;BB155:BD155;;CC155</v>
      </c>
      <c r="CY155" s="5" t="str">
        <f t="shared" si="128"/>
        <v>Unlock</v>
      </c>
      <c r="CZ155" s="5" t="str">
        <f t="shared" si="129"/>
        <v>Lock</v>
      </c>
      <c r="DA155" s="5" t="str">
        <f t="shared" si="130"/>
        <v>Lock</v>
      </c>
      <c r="DB155" s="5" t="str">
        <f t="shared" si="131"/>
        <v>Lock</v>
      </c>
      <c r="DC155" s="5" t="str">
        <f t="shared" si="132"/>
        <v>Lock</v>
      </c>
      <c r="DD155" s="78">
        <f t="shared" si="133"/>
        <v>2</v>
      </c>
      <c r="DE155" s="2"/>
      <c r="DF155" s="2"/>
      <c r="DG155" s="2"/>
      <c r="DH155" s="2"/>
      <c r="DI155" s="2"/>
      <c r="DJ155" s="2"/>
      <c r="DK155" s="5"/>
      <c r="DL155" s="2"/>
      <c r="DM155" s="2"/>
      <c r="DN155" s="2"/>
      <c r="DO155" s="2"/>
      <c r="DP155" s="2"/>
      <c r="DQ155" s="2"/>
      <c r="DR155" s="2"/>
      <c r="DS155" s="2"/>
      <c r="DT155" s="2"/>
      <c r="DU155" s="2"/>
      <c r="DV155" s="2"/>
      <c r="DW155" s="2"/>
      <c r="DX155" s="2"/>
      <c r="DY155" s="2"/>
      <c r="DZ155" s="2"/>
      <c r="EA155" s="2"/>
      <c r="EB155" s="2"/>
      <c r="EC155" s="2"/>
      <c r="ED155" s="2"/>
      <c r="EE155" s="2"/>
      <c r="EF155" s="1"/>
      <c r="EG155" s="98"/>
      <c r="EH155" s="98"/>
      <c r="EI155" s="1"/>
      <c r="EJ155" s="1"/>
      <c r="EK155" s="98"/>
      <c r="EL155" s="1"/>
    </row>
    <row r="156" spans="1:142">
      <c r="A156" s="32">
        <f t="shared" si="92"/>
        <v>10050</v>
      </c>
      <c r="B156" s="3" t="str">
        <f t="shared" si="93"/>
        <v>sv_statement//Statement//Export Statement&amp;PDFID=Sheri Countryman_10050&amp;SO=Y</v>
      </c>
      <c r="C156" s="5" t="str">
        <f t="shared" si="134"/>
        <v>Statement</v>
      </c>
      <c r="D156" s="5" t="str">
        <f t="shared" si="94"/>
        <v>Sheri Countryman_10050</v>
      </c>
      <c r="E156" s="5"/>
      <c r="F156" s="5">
        <v>10050</v>
      </c>
      <c r="G156" s="22" t="s">
        <v>456</v>
      </c>
      <c r="H156" s="5" t="s">
        <v>250</v>
      </c>
      <c r="I156" s="5" t="s">
        <v>365</v>
      </c>
      <c r="J156" s="5" t="s">
        <v>220</v>
      </c>
      <c r="K156" s="5" t="s">
        <v>328</v>
      </c>
      <c r="L156" s="31">
        <f t="shared" si="95"/>
        <v>29271</v>
      </c>
      <c r="M156" s="5" t="s">
        <v>255</v>
      </c>
      <c r="N156" s="22" t="s">
        <v>155</v>
      </c>
      <c r="O156" s="100">
        <v>37774</v>
      </c>
      <c r="P156" s="146">
        <f>VLOOKUP(I156,'Job Codes'!$B$2:$I$120,4,FALSE)</f>
        <v>33000</v>
      </c>
      <c r="Q156" s="146">
        <f>VLOOKUP(I156,'Job Codes'!$B$2:$I$120,5,FALSE)</f>
        <v>42900</v>
      </c>
      <c r="R156" s="146">
        <f>VLOOKUP(I156,'Job Codes'!$B$2:$I$120,6,FALSE)</f>
        <v>51480</v>
      </c>
      <c r="S156" s="22" t="s">
        <v>171</v>
      </c>
      <c r="T156" s="146">
        <v>37482</v>
      </c>
      <c r="U156" s="8">
        <f>VLOOKUP(S156,Data!$H$22:$I$25,2,FALSE)*T156</f>
        <v>37482</v>
      </c>
      <c r="V156" s="180">
        <f t="shared" si="96"/>
        <v>0.87370629370629371</v>
      </c>
      <c r="W156" s="180">
        <f t="shared" si="97"/>
        <v>0.144549383704178</v>
      </c>
      <c r="X156" s="22" t="str">
        <f t="shared" si="98"/>
        <v>Yes</v>
      </c>
      <c r="Y156" s="180">
        <f t="shared" si="99"/>
        <v>0.02</v>
      </c>
      <c r="Z156" s="146">
        <f t="shared" si="100"/>
        <v>749.64</v>
      </c>
      <c r="AA156" s="146">
        <f t="shared" si="101"/>
        <v>749.64</v>
      </c>
      <c r="AB156" s="72"/>
      <c r="AC156" s="146">
        <f>AB156/VLOOKUP(S156,Data!$H$22:$I$25,2,FALSE)</f>
        <v>0</v>
      </c>
      <c r="AD156" s="22" t="s">
        <v>157</v>
      </c>
      <c r="AE156" s="146">
        <f>VLOOKUP(S156,Data!$H$22:$J$25,3,FALSE)*T156</f>
        <v>1124.46</v>
      </c>
      <c r="AF156" s="8">
        <f>VLOOKUP(S156,Data!$H$22:$I$25,2,FALSE)*AE156</f>
        <v>1124.46</v>
      </c>
      <c r="AG156" s="8" t="s">
        <v>178</v>
      </c>
      <c r="AH156" s="23">
        <v>2.5000000000000001E-2</v>
      </c>
      <c r="AI156" s="72"/>
      <c r="AJ156" s="159">
        <f t="shared" si="102"/>
        <v>2.5000000000000001E-2</v>
      </c>
      <c r="AK156" s="168">
        <f t="shared" si="135"/>
        <v>937.05000000000007</v>
      </c>
      <c r="AL156" s="160">
        <f t="shared" si="136"/>
        <v>937.05000000000007</v>
      </c>
      <c r="AM156" s="168">
        <f t="shared" si="103"/>
        <v>38419.050000000003</v>
      </c>
      <c r="AN156" s="160">
        <f t="shared" si="104"/>
        <v>38419.050000000003</v>
      </c>
      <c r="AO156" s="160" t="str">
        <f t="shared" si="137"/>
        <v>No</v>
      </c>
      <c r="AP156" s="146">
        <f>IF(AQ156=0,0,AQ156/VLOOKUP(S156,Data!$H$22:$I$25,2,FALSE))</f>
        <v>0</v>
      </c>
      <c r="AQ156" s="183">
        <f t="shared" si="105"/>
        <v>0</v>
      </c>
      <c r="AR156" s="165">
        <f t="shared" si="106"/>
        <v>937.05000000000007</v>
      </c>
      <c r="AS156" s="183">
        <f t="shared" si="107"/>
        <v>937.05000000000007</v>
      </c>
      <c r="AT156" s="250">
        <f t="shared" si="108"/>
        <v>2.5000000000000001E-2</v>
      </c>
      <c r="AU156" s="146">
        <f t="shared" si="109"/>
        <v>38419.050000000003</v>
      </c>
      <c r="AV156" s="8">
        <f t="shared" si="110"/>
        <v>38419.050000000003</v>
      </c>
      <c r="AW156" s="8" t="str">
        <f t="shared" si="111"/>
        <v/>
      </c>
      <c r="AX156" s="180">
        <f t="shared" si="112"/>
        <v>0.89554895104895116</v>
      </c>
      <c r="AY156" s="146">
        <f t="shared" si="113"/>
        <v>0</v>
      </c>
      <c r="AZ156" s="146">
        <f t="shared" si="114"/>
        <v>0</v>
      </c>
      <c r="BA156" s="22" t="s">
        <v>159</v>
      </c>
      <c r="BB156" s="149"/>
      <c r="BC156" s="149"/>
      <c r="BD156" s="144"/>
      <c r="BE156" s="146" t="str">
        <f t="shared" si="115"/>
        <v/>
      </c>
      <c r="BF156" s="8" t="str">
        <f t="shared" si="116"/>
        <v/>
      </c>
      <c r="BG156" s="8" t="str">
        <f>IF(LEN(BC156)&gt;0,VLOOKUP(BC156,'Job Codes'!B149:I267,7,FALSE),"")</f>
        <v/>
      </c>
      <c r="BH156" s="192" t="str">
        <f>IF(LEN(BC156)&gt;0,VLOOKUP(BC156,'Job Codes'!B149:I267,8,FALSE),"")</f>
        <v/>
      </c>
      <c r="BI156" s="192" t="str">
        <f>IF(LEN(BC156)&gt;0,VLOOKUP(BC156,'Job Codes'!$B$2:$J$120,9,FALSE),"")</f>
        <v/>
      </c>
      <c r="BJ156" s="146" t="str">
        <f>IF(LEN(BC156)&gt;0,VLOOKUP(BC156,'Job Codes'!$B$2:$I$120,4,FALSE),"")</f>
        <v/>
      </c>
      <c r="BK156" s="146" t="str">
        <f>IF(LEN(BC156)&gt;0,VLOOKUP(BC156,'Job Codes'!$B$2:$I$120,5,FALSE),"")</f>
        <v/>
      </c>
      <c r="BL156" s="146" t="str">
        <f>IF(LEN(BC156)&gt;0,VLOOKUP(BC156,'Job Codes'!$B$2:$I$120,6,FALSE),"")</f>
        <v/>
      </c>
      <c r="BM156" s="168">
        <f t="shared" si="117"/>
        <v>38419.050000000003</v>
      </c>
      <c r="BN156" s="160">
        <f t="shared" si="118"/>
        <v>38419.050000000003</v>
      </c>
      <c r="BO156" s="22" t="s">
        <v>157</v>
      </c>
      <c r="BP156" s="157">
        <f>VLOOKUP(I156,'Job Codes'!$B$2:$I$120,8,FALSE)</f>
        <v>0.1</v>
      </c>
      <c r="BQ156" s="25" t="str">
        <f>IF(O156&gt;Data!$H$33,"Yes","No")</f>
        <v>No</v>
      </c>
      <c r="BR156" s="191">
        <v>0.1</v>
      </c>
      <c r="BS156" s="150">
        <f t="shared" si="119"/>
        <v>3748.2000000000003</v>
      </c>
      <c r="BT156" s="25">
        <f t="shared" si="120"/>
        <v>3748.2000000000003</v>
      </c>
      <c r="BU156" s="161">
        <v>1</v>
      </c>
      <c r="BV156" s="168">
        <f t="shared" si="121"/>
        <v>3748.2000000000003</v>
      </c>
      <c r="BW156" s="160">
        <f t="shared" si="122"/>
        <v>3748.2000000000003</v>
      </c>
      <c r="BX156" s="149"/>
      <c r="BY156" s="32">
        <f t="shared" si="123"/>
        <v>0</v>
      </c>
      <c r="BZ156" s="22" t="s">
        <v>157</v>
      </c>
      <c r="CA156" s="231">
        <f>VLOOKUP(I156,'Job Codes'!$B$2:$J$120,9,FALSE)</f>
        <v>0.1</v>
      </c>
      <c r="CB156" s="253">
        <f t="shared" si="124"/>
        <v>3748.2000000000003</v>
      </c>
      <c r="CC156" s="72"/>
      <c r="CD156" s="25" t="str">
        <f t="shared" si="125"/>
        <v>Meets</v>
      </c>
      <c r="CE156" s="27"/>
      <c r="CF156" s="27"/>
      <c r="CG156" s="27"/>
      <c r="CH156" s="27"/>
      <c r="CI156" s="27"/>
      <c r="CJ156" s="3"/>
      <c r="CK156" s="3"/>
      <c r="CL156" s="3"/>
      <c r="CM156" s="3"/>
      <c r="CN156" s="3">
        <v>4571</v>
      </c>
      <c r="CO156" s="3" t="s">
        <v>162</v>
      </c>
      <c r="CP156" s="3">
        <v>12345</v>
      </c>
      <c r="CQ156" s="3" t="s">
        <v>163</v>
      </c>
      <c r="CR156" s="246" t="s">
        <v>256</v>
      </c>
      <c r="CS156" s="247" t="s">
        <v>257</v>
      </c>
      <c r="CT156" s="246" t="s">
        <v>199</v>
      </c>
      <c r="CU156" s="247" t="s">
        <v>200</v>
      </c>
      <c r="CV156" s="3" t="str">
        <f t="shared" si="126"/>
        <v>86672;36523</v>
      </c>
      <c r="CW156" s="3" t="s">
        <v>168</v>
      </c>
      <c r="CX156" s="3" t="str">
        <f t="shared" si="127"/>
        <v>;;BB156:BD156;;</v>
      </c>
      <c r="CY156" s="5" t="str">
        <f t="shared" si="128"/>
        <v>Unlock</v>
      </c>
      <c r="CZ156" s="5" t="str">
        <f t="shared" si="129"/>
        <v>Lock</v>
      </c>
      <c r="DA156" s="5" t="str">
        <f t="shared" si="130"/>
        <v>Lock</v>
      </c>
      <c r="DB156" s="5" t="str">
        <f t="shared" si="131"/>
        <v>Lock</v>
      </c>
      <c r="DC156" s="5" t="str">
        <f t="shared" si="132"/>
        <v>Lock</v>
      </c>
      <c r="DD156" s="78">
        <f t="shared" si="133"/>
        <v>4</v>
      </c>
      <c r="DE156" s="2"/>
      <c r="DF156" s="2"/>
      <c r="DG156" s="2"/>
      <c r="DH156" s="2"/>
      <c r="DI156" s="2"/>
      <c r="DJ156" s="2"/>
      <c r="DK156" s="5"/>
      <c r="DL156" s="2"/>
      <c r="DM156" s="2"/>
      <c r="DN156" s="2"/>
      <c r="DO156" s="2"/>
      <c r="DP156" s="2"/>
      <c r="DQ156" s="2"/>
      <c r="DR156" s="2"/>
      <c r="DS156" s="2"/>
      <c r="DT156" s="2"/>
      <c r="DU156" s="2"/>
      <c r="DV156" s="2"/>
      <c r="DW156" s="2"/>
      <c r="DX156" s="2"/>
      <c r="DY156" s="2"/>
      <c r="DZ156" s="2"/>
      <c r="EA156" s="2"/>
      <c r="EB156" s="2"/>
      <c r="EC156" s="2"/>
      <c r="ED156" s="2"/>
      <c r="EE156" s="2"/>
      <c r="EF156" s="1"/>
      <c r="EG156" s="98"/>
      <c r="EH156" s="98"/>
      <c r="EI156" s="1"/>
      <c r="EJ156" s="1"/>
      <c r="EK156" s="98"/>
      <c r="EL156" s="1"/>
    </row>
    <row r="157" spans="1:142">
      <c r="A157" s="32">
        <f t="shared" si="92"/>
        <v>10116</v>
      </c>
      <c r="B157" s="3" t="str">
        <f t="shared" si="93"/>
        <v>sv_statement//Statement//Export Statement&amp;PDFID=Kristi Hollingsworth_10116&amp;SO=Y</v>
      </c>
      <c r="C157" s="5" t="str">
        <f t="shared" si="134"/>
        <v>Statement</v>
      </c>
      <c r="D157" s="5" t="str">
        <f t="shared" si="94"/>
        <v>Kristi Hollingsworth_10116</v>
      </c>
      <c r="E157" s="5"/>
      <c r="F157" s="5">
        <v>10116</v>
      </c>
      <c r="G157" s="22" t="s">
        <v>457</v>
      </c>
      <c r="H157" s="5" t="s">
        <v>367</v>
      </c>
      <c r="I157" s="5" t="s">
        <v>419</v>
      </c>
      <c r="J157" s="5" t="s">
        <v>252</v>
      </c>
      <c r="K157" s="5" t="s">
        <v>333</v>
      </c>
      <c r="L157" s="31">
        <f t="shared" si="95"/>
        <v>29326</v>
      </c>
      <c r="M157" s="5" t="s">
        <v>334</v>
      </c>
      <c r="N157" s="22" t="s">
        <v>155</v>
      </c>
      <c r="O157" s="100">
        <v>38390</v>
      </c>
      <c r="P157" s="146">
        <f>VLOOKUP(I157,'Job Codes'!$B$2:$I$120,4,FALSE)</f>
        <v>26500</v>
      </c>
      <c r="Q157" s="146">
        <f>VLOOKUP(I157,'Job Codes'!$B$2:$I$120,5,FALSE)</f>
        <v>34450</v>
      </c>
      <c r="R157" s="146">
        <f>VLOOKUP(I157,'Job Codes'!$B$2:$I$120,6,FALSE)</f>
        <v>41340</v>
      </c>
      <c r="S157" s="22" t="s">
        <v>171</v>
      </c>
      <c r="T157" s="146">
        <v>27747</v>
      </c>
      <c r="U157" s="8">
        <f>VLOOKUP(S157,Data!$H$22:$I$25,2,FALSE)*T157</f>
        <v>27747</v>
      </c>
      <c r="V157" s="180">
        <f t="shared" si="96"/>
        <v>0.80542815674891144</v>
      </c>
      <c r="W157" s="180">
        <f t="shared" si="97"/>
        <v>0.24157566583774823</v>
      </c>
      <c r="X157" s="22" t="str">
        <f t="shared" si="98"/>
        <v>Yes</v>
      </c>
      <c r="Y157" s="180">
        <f t="shared" si="99"/>
        <v>0.02</v>
      </c>
      <c r="Z157" s="146">
        <f t="shared" si="100"/>
        <v>554.94000000000005</v>
      </c>
      <c r="AA157" s="146">
        <f t="shared" si="101"/>
        <v>554.94000000000005</v>
      </c>
      <c r="AB157" s="72"/>
      <c r="AC157" s="146">
        <f>AB157/VLOOKUP(S157,Data!$H$22:$I$25,2,FALSE)</f>
        <v>0</v>
      </c>
      <c r="AD157" s="22" t="s">
        <v>157</v>
      </c>
      <c r="AE157" s="146">
        <f>VLOOKUP(S157,Data!$H$22:$J$25,3,FALSE)*T157</f>
        <v>832.41</v>
      </c>
      <c r="AF157" s="8">
        <f>VLOOKUP(S157,Data!$H$22:$I$25,2,FALSE)*AE157</f>
        <v>832.41</v>
      </c>
      <c r="AG157" s="8" t="s">
        <v>158</v>
      </c>
      <c r="AH157" s="23">
        <v>0.05</v>
      </c>
      <c r="AI157" s="72"/>
      <c r="AJ157" s="159">
        <f t="shared" si="102"/>
        <v>0.05</v>
      </c>
      <c r="AK157" s="168">
        <f t="shared" si="135"/>
        <v>1387.3500000000001</v>
      </c>
      <c r="AL157" s="160">
        <f t="shared" si="136"/>
        <v>1387.3500000000001</v>
      </c>
      <c r="AM157" s="168">
        <f t="shared" si="103"/>
        <v>29134.35</v>
      </c>
      <c r="AN157" s="160">
        <f t="shared" si="104"/>
        <v>29134.35</v>
      </c>
      <c r="AO157" s="160" t="str">
        <f t="shared" si="137"/>
        <v>No</v>
      </c>
      <c r="AP157" s="146">
        <f>IF(AQ157=0,0,AQ157/VLOOKUP(S157,Data!$H$22:$I$25,2,FALSE))</f>
        <v>0</v>
      </c>
      <c r="AQ157" s="183">
        <f t="shared" si="105"/>
        <v>0</v>
      </c>
      <c r="AR157" s="165">
        <f t="shared" si="106"/>
        <v>1387.3500000000001</v>
      </c>
      <c r="AS157" s="183">
        <f t="shared" si="107"/>
        <v>1387.3500000000001</v>
      </c>
      <c r="AT157" s="250">
        <f t="shared" si="108"/>
        <v>0.05</v>
      </c>
      <c r="AU157" s="146">
        <f t="shared" si="109"/>
        <v>29134.35</v>
      </c>
      <c r="AV157" s="8">
        <f t="shared" si="110"/>
        <v>29134.35</v>
      </c>
      <c r="AW157" s="8" t="str">
        <f t="shared" si="111"/>
        <v/>
      </c>
      <c r="AX157" s="180">
        <f t="shared" si="112"/>
        <v>0.84569956458635698</v>
      </c>
      <c r="AY157" s="146">
        <f t="shared" si="113"/>
        <v>0</v>
      </c>
      <c r="AZ157" s="146">
        <f t="shared" si="114"/>
        <v>0</v>
      </c>
      <c r="BA157" s="22" t="s">
        <v>159</v>
      </c>
      <c r="BB157" s="149"/>
      <c r="BC157" s="149"/>
      <c r="BD157" s="144"/>
      <c r="BE157" s="146" t="str">
        <f t="shared" si="115"/>
        <v/>
      </c>
      <c r="BF157" s="8" t="str">
        <f t="shared" si="116"/>
        <v/>
      </c>
      <c r="BG157" s="8" t="str">
        <f>IF(LEN(BC157)&gt;0,VLOOKUP(BC157,'Job Codes'!B150:I268,7,FALSE),"")</f>
        <v/>
      </c>
      <c r="BH157" s="192" t="str">
        <f>IF(LEN(BC157)&gt;0,VLOOKUP(BC157,'Job Codes'!B150:I268,8,FALSE),"")</f>
        <v/>
      </c>
      <c r="BI157" s="192" t="str">
        <f>IF(LEN(BC157)&gt;0,VLOOKUP(BC157,'Job Codes'!$B$2:$J$120,9,FALSE),"")</f>
        <v/>
      </c>
      <c r="BJ157" s="146" t="str">
        <f>IF(LEN(BC157)&gt;0,VLOOKUP(BC157,'Job Codes'!$B$2:$I$120,4,FALSE),"")</f>
        <v/>
      </c>
      <c r="BK157" s="146" t="str">
        <f>IF(LEN(BC157)&gt;0,VLOOKUP(BC157,'Job Codes'!$B$2:$I$120,5,FALSE),"")</f>
        <v/>
      </c>
      <c r="BL157" s="146" t="str">
        <f>IF(LEN(BC157)&gt;0,VLOOKUP(BC157,'Job Codes'!$B$2:$I$120,6,FALSE),"")</f>
        <v/>
      </c>
      <c r="BM157" s="168">
        <f t="shared" si="117"/>
        <v>29134.35</v>
      </c>
      <c r="BN157" s="160">
        <f t="shared" si="118"/>
        <v>29134.35</v>
      </c>
      <c r="BO157" s="22" t="s">
        <v>157</v>
      </c>
      <c r="BP157" s="157">
        <f>VLOOKUP(I157,'Job Codes'!$B$2:$I$120,8,FALSE)</f>
        <v>0.05</v>
      </c>
      <c r="BQ157" s="25" t="str">
        <f>IF(O157&gt;Data!$H$33,"Yes","No")</f>
        <v>No</v>
      </c>
      <c r="BR157" s="191">
        <v>0.05</v>
      </c>
      <c r="BS157" s="150">
        <f t="shared" si="119"/>
        <v>1387.3500000000001</v>
      </c>
      <c r="BT157" s="25">
        <f t="shared" si="120"/>
        <v>1387.3500000000001</v>
      </c>
      <c r="BU157" s="161">
        <v>1</v>
      </c>
      <c r="BV157" s="168">
        <f t="shared" si="121"/>
        <v>1387.3500000000001</v>
      </c>
      <c r="BW157" s="160">
        <f t="shared" si="122"/>
        <v>1387.3500000000001</v>
      </c>
      <c r="BX157" s="149"/>
      <c r="BY157" s="32">
        <f t="shared" si="123"/>
        <v>0</v>
      </c>
      <c r="BZ157" s="22" t="s">
        <v>159</v>
      </c>
      <c r="CA157" s="231">
        <f>VLOOKUP(I157,'Job Codes'!$B$2:$J$120,9,FALSE)</f>
        <v>0</v>
      </c>
      <c r="CB157" s="253">
        <f t="shared" si="124"/>
        <v>0</v>
      </c>
      <c r="CC157" s="72"/>
      <c r="CD157" s="25" t="str">
        <f t="shared" si="125"/>
        <v>Exceeds</v>
      </c>
      <c r="CE157" s="27"/>
      <c r="CF157" s="27"/>
      <c r="CG157" s="27"/>
      <c r="CH157" s="27"/>
      <c r="CI157" s="27"/>
      <c r="CJ157" s="3">
        <v>29271</v>
      </c>
      <c r="CK157" s="3" t="s">
        <v>255</v>
      </c>
      <c r="CL157" s="3">
        <v>4569</v>
      </c>
      <c r="CM157" s="3" t="s">
        <v>161</v>
      </c>
      <c r="CN157" s="3">
        <v>4571</v>
      </c>
      <c r="CO157" s="3" t="s">
        <v>162</v>
      </c>
      <c r="CP157" s="3">
        <v>12345</v>
      </c>
      <c r="CQ157" s="3" t="s">
        <v>163</v>
      </c>
      <c r="CR157" s="246" t="s">
        <v>164</v>
      </c>
      <c r="CS157" s="5" t="s">
        <v>165</v>
      </c>
      <c r="CT157" s="246" t="s">
        <v>256</v>
      </c>
      <c r="CU157" s="247" t="s">
        <v>257</v>
      </c>
      <c r="CV157" s="3" t="str">
        <f t="shared" si="126"/>
        <v>67890;86672</v>
      </c>
      <c r="CW157" s="3" t="s">
        <v>168</v>
      </c>
      <c r="CX157" s="3" t="str">
        <f t="shared" si="127"/>
        <v>;;BB157:BD157;;CC157</v>
      </c>
      <c r="CY157" s="5" t="str">
        <f t="shared" si="128"/>
        <v>Unlock</v>
      </c>
      <c r="CZ157" s="5" t="str">
        <f t="shared" si="129"/>
        <v>Lock</v>
      </c>
      <c r="DA157" s="5" t="str">
        <f t="shared" si="130"/>
        <v>Lock</v>
      </c>
      <c r="DB157" s="5" t="str">
        <f t="shared" si="131"/>
        <v>Lock</v>
      </c>
      <c r="DC157" s="5" t="str">
        <f t="shared" si="132"/>
        <v>Lock</v>
      </c>
      <c r="DD157" s="78">
        <f t="shared" si="133"/>
        <v>2</v>
      </c>
      <c r="DE157" s="2"/>
      <c r="DF157" s="2"/>
      <c r="DG157" s="2"/>
      <c r="DH157" s="2"/>
      <c r="DI157" s="2"/>
      <c r="DJ157" s="2"/>
      <c r="DK157" s="5"/>
      <c r="DL157" s="2"/>
      <c r="DM157" s="2"/>
      <c r="DN157" s="2"/>
      <c r="DO157" s="2"/>
      <c r="DP157" s="2"/>
      <c r="DQ157" s="2"/>
      <c r="DR157" s="2"/>
      <c r="DS157" s="2"/>
      <c r="DT157" s="2"/>
      <c r="DU157" s="2"/>
      <c r="DV157" s="2"/>
      <c r="DW157" s="2"/>
      <c r="DX157" s="2"/>
      <c r="DY157" s="2"/>
      <c r="DZ157" s="2"/>
      <c r="EA157" s="2"/>
      <c r="EB157" s="2"/>
      <c r="EC157" s="2"/>
      <c r="ED157" s="2"/>
      <c r="EE157" s="2"/>
      <c r="EF157" s="1"/>
      <c r="EG157" s="98"/>
      <c r="EH157" s="98"/>
      <c r="EI157" s="1"/>
      <c r="EJ157" s="1"/>
      <c r="EK157" s="98"/>
      <c r="EL157" s="1"/>
    </row>
    <row r="158" spans="1:142">
      <c r="A158" s="32">
        <f t="shared" si="92"/>
        <v>10118</v>
      </c>
      <c r="B158" s="3" t="str">
        <f t="shared" si="93"/>
        <v>sv_statement//Statement//Export Statement&amp;PDFID=Verna Priddy_10118&amp;SO=Y</v>
      </c>
      <c r="C158" s="5" t="str">
        <f t="shared" si="134"/>
        <v>Statement</v>
      </c>
      <c r="D158" s="5" t="str">
        <f t="shared" si="94"/>
        <v>Verna Priddy_10118</v>
      </c>
      <c r="E158" s="5"/>
      <c r="F158" s="5">
        <v>10118</v>
      </c>
      <c r="G158" s="22" t="s">
        <v>458</v>
      </c>
      <c r="H158" s="5" t="s">
        <v>367</v>
      </c>
      <c r="I158" s="5" t="s">
        <v>396</v>
      </c>
      <c r="J158" s="5" t="s">
        <v>252</v>
      </c>
      <c r="K158" s="5" t="s">
        <v>333</v>
      </c>
      <c r="L158" s="31">
        <f t="shared" si="95"/>
        <v>29326</v>
      </c>
      <c r="M158" s="5" t="s">
        <v>334</v>
      </c>
      <c r="N158" s="22" t="s">
        <v>155</v>
      </c>
      <c r="O158" s="100">
        <v>38390</v>
      </c>
      <c r="P158" s="146">
        <f>VLOOKUP(I158,'Job Codes'!$B$2:$I$120,4,FALSE)</f>
        <v>26500</v>
      </c>
      <c r="Q158" s="146">
        <f>VLOOKUP(I158,'Job Codes'!$B$2:$I$120,5,FALSE)</f>
        <v>34450</v>
      </c>
      <c r="R158" s="146">
        <f>VLOOKUP(I158,'Job Codes'!$B$2:$I$120,6,FALSE)</f>
        <v>41340</v>
      </c>
      <c r="S158" s="22" t="s">
        <v>171</v>
      </c>
      <c r="T158" s="146">
        <v>39790</v>
      </c>
      <c r="U158" s="8">
        <f>VLOOKUP(S158,Data!$H$22:$I$25,2,FALSE)*T158</f>
        <v>39790</v>
      </c>
      <c r="V158" s="180">
        <f t="shared" si="96"/>
        <v>1.1550072568940493</v>
      </c>
      <c r="W158" s="180">
        <f t="shared" si="97"/>
        <v>0</v>
      </c>
      <c r="X158" s="22" t="str">
        <f t="shared" si="98"/>
        <v>No</v>
      </c>
      <c r="Y158" s="180">
        <f t="shared" si="99"/>
        <v>0</v>
      </c>
      <c r="Z158" s="146">
        <f t="shared" si="100"/>
        <v>0</v>
      </c>
      <c r="AA158" s="146">
        <f t="shared" si="101"/>
        <v>0</v>
      </c>
      <c r="AB158" s="72"/>
      <c r="AC158" s="146">
        <f>AB158/VLOOKUP(S158,Data!$H$22:$I$25,2,FALSE)</f>
        <v>0</v>
      </c>
      <c r="AD158" s="22" t="s">
        <v>157</v>
      </c>
      <c r="AE158" s="146">
        <f>VLOOKUP(S158,Data!$H$22:$J$25,3,FALSE)*T158</f>
        <v>1193.7</v>
      </c>
      <c r="AF158" s="8">
        <f>VLOOKUP(S158,Data!$H$22:$I$25,2,FALSE)*AE158</f>
        <v>1193.7</v>
      </c>
      <c r="AG158" s="8" t="s">
        <v>178</v>
      </c>
      <c r="AH158" s="23">
        <v>2.5000000000000001E-2</v>
      </c>
      <c r="AI158" s="72"/>
      <c r="AJ158" s="159">
        <f t="shared" si="102"/>
        <v>2.5000000000000001E-2</v>
      </c>
      <c r="AK158" s="168">
        <f t="shared" si="135"/>
        <v>994.75</v>
      </c>
      <c r="AL158" s="160">
        <f t="shared" si="136"/>
        <v>994.75</v>
      </c>
      <c r="AM158" s="168">
        <f t="shared" si="103"/>
        <v>40784.75</v>
      </c>
      <c r="AN158" s="160">
        <f t="shared" si="104"/>
        <v>40784.75</v>
      </c>
      <c r="AO158" s="160" t="str">
        <f t="shared" si="137"/>
        <v>No</v>
      </c>
      <c r="AP158" s="146">
        <f>IF(AQ158=0,0,AQ158/VLOOKUP(S158,Data!$H$22:$I$25,2,FALSE))</f>
        <v>0</v>
      </c>
      <c r="AQ158" s="183">
        <f t="shared" si="105"/>
        <v>0</v>
      </c>
      <c r="AR158" s="165">
        <f t="shared" si="106"/>
        <v>994.75</v>
      </c>
      <c r="AS158" s="183">
        <f t="shared" si="107"/>
        <v>994.75</v>
      </c>
      <c r="AT158" s="250">
        <f t="shared" si="108"/>
        <v>2.5000000000000001E-2</v>
      </c>
      <c r="AU158" s="146">
        <f t="shared" si="109"/>
        <v>40784.75</v>
      </c>
      <c r="AV158" s="8">
        <f t="shared" si="110"/>
        <v>40784.75</v>
      </c>
      <c r="AW158" s="8" t="str">
        <f t="shared" si="111"/>
        <v/>
      </c>
      <c r="AX158" s="180">
        <f t="shared" si="112"/>
        <v>1.1838824383164006</v>
      </c>
      <c r="AY158" s="146">
        <f t="shared" si="113"/>
        <v>0</v>
      </c>
      <c r="AZ158" s="146">
        <f t="shared" si="114"/>
        <v>0</v>
      </c>
      <c r="BA158" s="22" t="s">
        <v>159</v>
      </c>
      <c r="BB158" s="149"/>
      <c r="BC158" s="149"/>
      <c r="BD158" s="144"/>
      <c r="BE158" s="146" t="str">
        <f t="shared" si="115"/>
        <v/>
      </c>
      <c r="BF158" s="8" t="str">
        <f t="shared" si="116"/>
        <v/>
      </c>
      <c r="BG158" s="8" t="str">
        <f>IF(LEN(BC158)&gt;0,VLOOKUP(BC158,'Job Codes'!B151:I269,7,FALSE),"")</f>
        <v/>
      </c>
      <c r="BH158" s="192" t="str">
        <f>IF(LEN(BC158)&gt;0,VLOOKUP(BC158,'Job Codes'!B151:I269,8,FALSE),"")</f>
        <v/>
      </c>
      <c r="BI158" s="192" t="str">
        <f>IF(LEN(BC158)&gt;0,VLOOKUP(BC158,'Job Codes'!$B$2:$J$120,9,FALSE),"")</f>
        <v/>
      </c>
      <c r="BJ158" s="146" t="str">
        <f>IF(LEN(BC158)&gt;0,VLOOKUP(BC158,'Job Codes'!$B$2:$I$120,4,FALSE),"")</f>
        <v/>
      </c>
      <c r="BK158" s="146" t="str">
        <f>IF(LEN(BC158)&gt;0,VLOOKUP(BC158,'Job Codes'!$B$2:$I$120,5,FALSE),"")</f>
        <v/>
      </c>
      <c r="BL158" s="146" t="str">
        <f>IF(LEN(BC158)&gt;0,VLOOKUP(BC158,'Job Codes'!$B$2:$I$120,6,FALSE),"")</f>
        <v/>
      </c>
      <c r="BM158" s="168">
        <f t="shared" si="117"/>
        <v>40784.75</v>
      </c>
      <c r="BN158" s="160">
        <f t="shared" si="118"/>
        <v>40784.75</v>
      </c>
      <c r="BO158" s="22" t="s">
        <v>157</v>
      </c>
      <c r="BP158" s="157">
        <f>VLOOKUP(I158,'Job Codes'!$B$2:$I$120,8,FALSE)</f>
        <v>0.05</v>
      </c>
      <c r="BQ158" s="25" t="str">
        <f>IF(O158&gt;Data!$H$33,"Yes","No")</f>
        <v>No</v>
      </c>
      <c r="BR158" s="191">
        <v>0.05</v>
      </c>
      <c r="BS158" s="150">
        <f t="shared" si="119"/>
        <v>1989.5</v>
      </c>
      <c r="BT158" s="25">
        <f t="shared" si="120"/>
        <v>1989.5</v>
      </c>
      <c r="BU158" s="161">
        <v>1</v>
      </c>
      <c r="BV158" s="168">
        <f t="shared" si="121"/>
        <v>1989.5</v>
      </c>
      <c r="BW158" s="160">
        <f t="shared" si="122"/>
        <v>1989.5</v>
      </c>
      <c r="BX158" s="149"/>
      <c r="BY158" s="32">
        <f t="shared" si="123"/>
        <v>0</v>
      </c>
      <c r="BZ158" s="22" t="s">
        <v>159</v>
      </c>
      <c r="CA158" s="231">
        <f>VLOOKUP(I158,'Job Codes'!$B$2:$J$120,9,FALSE)</f>
        <v>0</v>
      </c>
      <c r="CB158" s="253">
        <f t="shared" si="124"/>
        <v>0</v>
      </c>
      <c r="CC158" s="72"/>
      <c r="CD158" s="25" t="str">
        <f t="shared" si="125"/>
        <v>Meets</v>
      </c>
      <c r="CE158" s="27"/>
      <c r="CF158" s="27"/>
      <c r="CG158" s="27"/>
      <c r="CH158" s="27"/>
      <c r="CI158" s="27"/>
      <c r="CJ158" s="3">
        <v>29271</v>
      </c>
      <c r="CK158" s="3" t="s">
        <v>255</v>
      </c>
      <c r="CL158" s="3">
        <v>4569</v>
      </c>
      <c r="CM158" s="3" t="s">
        <v>161</v>
      </c>
      <c r="CN158" s="3">
        <v>4571</v>
      </c>
      <c r="CO158" s="3" t="s">
        <v>162</v>
      </c>
      <c r="CP158" s="3">
        <v>12345</v>
      </c>
      <c r="CQ158" s="3" t="s">
        <v>163</v>
      </c>
      <c r="CR158" s="246" t="s">
        <v>164</v>
      </c>
      <c r="CS158" s="5" t="s">
        <v>165</v>
      </c>
      <c r="CT158" s="246" t="s">
        <v>256</v>
      </c>
      <c r="CU158" s="247" t="s">
        <v>257</v>
      </c>
      <c r="CV158" s="3" t="str">
        <f t="shared" si="126"/>
        <v>67890;86672</v>
      </c>
      <c r="CW158" s="3" t="s">
        <v>168</v>
      </c>
      <c r="CX158" s="3" t="str">
        <f t="shared" si="127"/>
        <v>AB158;;BB158:BD158;;CC158</v>
      </c>
      <c r="CY158" s="5" t="str">
        <f t="shared" si="128"/>
        <v>Unlock</v>
      </c>
      <c r="CZ158" s="5" t="str">
        <f t="shared" si="129"/>
        <v>Lock</v>
      </c>
      <c r="DA158" s="5" t="str">
        <f t="shared" si="130"/>
        <v>Lock</v>
      </c>
      <c r="DB158" s="5" t="str">
        <f t="shared" si="131"/>
        <v>Lock</v>
      </c>
      <c r="DC158" s="5" t="str">
        <f t="shared" si="132"/>
        <v>Lock</v>
      </c>
      <c r="DD158" s="78">
        <f t="shared" si="133"/>
        <v>2</v>
      </c>
      <c r="DE158" s="2"/>
      <c r="DF158" s="2"/>
      <c r="DG158" s="2"/>
      <c r="DH158" s="2"/>
      <c r="DI158" s="2"/>
      <c r="DJ158" s="2"/>
      <c r="DK158" s="5"/>
      <c r="DL158" s="2"/>
      <c r="DM158" s="2"/>
      <c r="DN158" s="2"/>
      <c r="DO158" s="2"/>
      <c r="DP158" s="2"/>
      <c r="DQ158" s="2"/>
      <c r="DR158" s="2"/>
      <c r="DS158" s="2"/>
      <c r="DT158" s="2"/>
      <c r="DU158" s="2"/>
      <c r="DV158" s="2"/>
      <c r="DW158" s="2"/>
      <c r="DX158" s="2"/>
      <c r="DY158" s="2"/>
      <c r="DZ158" s="2"/>
      <c r="EA158" s="2"/>
      <c r="EB158" s="2"/>
      <c r="EC158" s="2"/>
      <c r="ED158" s="2"/>
      <c r="EE158" s="2"/>
      <c r="EF158" s="1"/>
      <c r="EG158" s="98"/>
      <c r="EH158" s="98"/>
      <c r="EI158" s="1"/>
      <c r="EJ158" s="1"/>
      <c r="EK158" s="98"/>
      <c r="EL158" s="1"/>
    </row>
    <row r="159" spans="1:142">
      <c r="A159" s="32">
        <f t="shared" si="92"/>
        <v>10206</v>
      </c>
      <c r="B159" s="3" t="str">
        <f t="shared" si="93"/>
        <v>sv_statement//Statement//Export Statement&amp;PDFID=Donald Scholl_10206&amp;SO=Y</v>
      </c>
      <c r="C159" s="5" t="str">
        <f t="shared" si="134"/>
        <v>Statement</v>
      </c>
      <c r="D159" s="5" t="str">
        <f t="shared" si="94"/>
        <v>Donald Scholl_10206</v>
      </c>
      <c r="E159" s="5"/>
      <c r="F159" s="5">
        <v>10206</v>
      </c>
      <c r="G159" s="22" t="s">
        <v>459</v>
      </c>
      <c r="H159" s="5" t="s">
        <v>214</v>
      </c>
      <c r="I159" s="5" t="s">
        <v>266</v>
      </c>
      <c r="J159" s="5" t="s">
        <v>208</v>
      </c>
      <c r="K159" s="5" t="s">
        <v>209</v>
      </c>
      <c r="L159" s="31">
        <f t="shared" si="95"/>
        <v>20714</v>
      </c>
      <c r="M159" s="5" t="s">
        <v>198</v>
      </c>
      <c r="N159" s="22" t="s">
        <v>155</v>
      </c>
      <c r="O159" s="100">
        <v>38397</v>
      </c>
      <c r="P159" s="146">
        <f>VLOOKUP(I159,'Job Codes'!$B$2:$I$120,4,FALSE)</f>
        <v>29000</v>
      </c>
      <c r="Q159" s="146">
        <f>VLOOKUP(I159,'Job Codes'!$B$2:$I$120,5,FALSE)</f>
        <v>37700</v>
      </c>
      <c r="R159" s="146">
        <f>VLOOKUP(I159,'Job Codes'!$B$2:$I$120,6,FALSE)</f>
        <v>45240</v>
      </c>
      <c r="S159" s="22" t="s">
        <v>171</v>
      </c>
      <c r="T159" s="146">
        <v>22880</v>
      </c>
      <c r="U159" s="8">
        <f>VLOOKUP(S159,Data!$H$22:$I$25,2,FALSE)*T159</f>
        <v>22880</v>
      </c>
      <c r="V159" s="180">
        <f t="shared" si="96"/>
        <v>0.60689655172413792</v>
      </c>
      <c r="W159" s="180">
        <f t="shared" si="97"/>
        <v>0.64772727272727271</v>
      </c>
      <c r="X159" s="22" t="str">
        <f t="shared" si="98"/>
        <v>Yes</v>
      </c>
      <c r="Y159" s="180">
        <f t="shared" si="99"/>
        <v>0.02</v>
      </c>
      <c r="Z159" s="146">
        <f t="shared" si="100"/>
        <v>457.6</v>
      </c>
      <c r="AA159" s="146">
        <f t="shared" si="101"/>
        <v>457.6</v>
      </c>
      <c r="AB159" s="72"/>
      <c r="AC159" s="146">
        <f>AB159/VLOOKUP(S159,Data!$H$22:$I$25,2,FALSE)</f>
        <v>0</v>
      </c>
      <c r="AD159" s="22" t="s">
        <v>157</v>
      </c>
      <c r="AE159" s="146">
        <f>VLOOKUP(S159,Data!$H$22:$J$25,3,FALSE)*T159</f>
        <v>686.4</v>
      </c>
      <c r="AF159" s="8">
        <f>VLOOKUP(S159,Data!$H$22:$I$25,2,FALSE)*AE159</f>
        <v>686.4</v>
      </c>
      <c r="AG159" s="8" t="s">
        <v>172</v>
      </c>
      <c r="AH159" s="23">
        <v>0</v>
      </c>
      <c r="AI159" s="72"/>
      <c r="AJ159" s="159">
        <f t="shared" si="102"/>
        <v>0</v>
      </c>
      <c r="AK159" s="168">
        <f t="shared" si="135"/>
        <v>0</v>
      </c>
      <c r="AL159" s="160">
        <f t="shared" si="136"/>
        <v>0</v>
      </c>
      <c r="AM159" s="168">
        <f t="shared" si="103"/>
        <v>22880</v>
      </c>
      <c r="AN159" s="160">
        <f t="shared" si="104"/>
        <v>22880</v>
      </c>
      <c r="AO159" s="160" t="str">
        <f t="shared" si="137"/>
        <v>No</v>
      </c>
      <c r="AP159" s="146">
        <f>IF(AQ159=0,0,AQ159/VLOOKUP(S159,Data!$H$22:$I$25,2,FALSE))</f>
        <v>0</v>
      </c>
      <c r="AQ159" s="183">
        <f t="shared" si="105"/>
        <v>0</v>
      </c>
      <c r="AR159" s="165">
        <f t="shared" si="106"/>
        <v>0</v>
      </c>
      <c r="AS159" s="183">
        <f t="shared" si="107"/>
        <v>0</v>
      </c>
      <c r="AT159" s="250">
        <f t="shared" si="108"/>
        <v>0</v>
      </c>
      <c r="AU159" s="146">
        <f t="shared" si="109"/>
        <v>22880</v>
      </c>
      <c r="AV159" s="8">
        <f t="shared" si="110"/>
        <v>22880</v>
      </c>
      <c r="AW159" s="8" t="str">
        <f t="shared" si="111"/>
        <v/>
      </c>
      <c r="AX159" s="180">
        <f t="shared" si="112"/>
        <v>0.60689655172413792</v>
      </c>
      <c r="AY159" s="146">
        <f t="shared" si="113"/>
        <v>0</v>
      </c>
      <c r="AZ159" s="146">
        <f t="shared" si="114"/>
        <v>0</v>
      </c>
      <c r="BA159" s="22" t="s">
        <v>159</v>
      </c>
      <c r="BB159" s="149"/>
      <c r="BC159" s="149"/>
      <c r="BD159" s="144"/>
      <c r="BE159" s="146" t="str">
        <f t="shared" si="115"/>
        <v/>
      </c>
      <c r="BF159" s="8" t="str">
        <f t="shared" si="116"/>
        <v/>
      </c>
      <c r="BG159" s="8" t="str">
        <f>IF(LEN(BC159)&gt;0,VLOOKUP(BC159,'Job Codes'!B152:I270,7,FALSE),"")</f>
        <v/>
      </c>
      <c r="BH159" s="192" t="str">
        <f>IF(LEN(BC159)&gt;0,VLOOKUP(BC159,'Job Codes'!B152:I270,8,FALSE),"")</f>
        <v/>
      </c>
      <c r="BI159" s="192" t="str">
        <f>IF(LEN(BC159)&gt;0,VLOOKUP(BC159,'Job Codes'!$B$2:$J$120,9,FALSE),"")</f>
        <v/>
      </c>
      <c r="BJ159" s="146" t="str">
        <f>IF(LEN(BC159)&gt;0,VLOOKUP(BC159,'Job Codes'!$B$2:$I$120,4,FALSE),"")</f>
        <v/>
      </c>
      <c r="BK159" s="146" t="str">
        <f>IF(LEN(BC159)&gt;0,VLOOKUP(BC159,'Job Codes'!$B$2:$I$120,5,FALSE),"")</f>
        <v/>
      </c>
      <c r="BL159" s="146" t="str">
        <f>IF(LEN(BC159)&gt;0,VLOOKUP(BC159,'Job Codes'!$B$2:$I$120,6,FALSE),"")</f>
        <v/>
      </c>
      <c r="BM159" s="168">
        <f t="shared" si="117"/>
        <v>22880</v>
      </c>
      <c r="BN159" s="160">
        <f t="shared" si="118"/>
        <v>22880</v>
      </c>
      <c r="BO159" s="22" t="s">
        <v>157</v>
      </c>
      <c r="BP159" s="157">
        <f>VLOOKUP(I159,'Job Codes'!$B$2:$I$120,8,FALSE)</f>
        <v>0.1</v>
      </c>
      <c r="BQ159" s="25" t="str">
        <f>IF(O159&gt;Data!$H$33,"Yes","No")</f>
        <v>No</v>
      </c>
      <c r="BR159" s="191">
        <v>0.1</v>
      </c>
      <c r="BS159" s="150">
        <f t="shared" si="119"/>
        <v>2288</v>
      </c>
      <c r="BT159" s="25">
        <f t="shared" si="120"/>
        <v>2288</v>
      </c>
      <c r="BU159" s="161">
        <v>1</v>
      </c>
      <c r="BV159" s="168">
        <f t="shared" si="121"/>
        <v>2288</v>
      </c>
      <c r="BW159" s="160">
        <f t="shared" si="122"/>
        <v>2288</v>
      </c>
      <c r="BX159" s="149"/>
      <c r="BY159" s="32">
        <f t="shared" si="123"/>
        <v>0</v>
      </c>
      <c r="BZ159" s="22" t="s">
        <v>157</v>
      </c>
      <c r="CA159" s="231">
        <f>VLOOKUP(I159,'Job Codes'!$B$2:$J$120,9,FALSE)</f>
        <v>0.05</v>
      </c>
      <c r="CB159" s="253">
        <f t="shared" si="124"/>
        <v>1144</v>
      </c>
      <c r="CC159" s="72"/>
      <c r="CD159" s="25" t="str">
        <f t="shared" si="125"/>
        <v>Below</v>
      </c>
      <c r="CE159" s="27"/>
      <c r="CF159" s="27"/>
      <c r="CG159" s="27"/>
      <c r="CH159" s="27"/>
      <c r="CI159" s="27"/>
      <c r="CJ159" s="3"/>
      <c r="CK159" s="3"/>
      <c r="CL159" s="3">
        <v>4569</v>
      </c>
      <c r="CM159" s="3" t="s">
        <v>161</v>
      </c>
      <c r="CN159" s="3">
        <v>4571</v>
      </c>
      <c r="CO159" s="3" t="s">
        <v>162</v>
      </c>
      <c r="CP159" s="3">
        <v>12345</v>
      </c>
      <c r="CQ159" s="3" t="s">
        <v>163</v>
      </c>
      <c r="CR159" s="246" t="s">
        <v>179</v>
      </c>
      <c r="CS159" s="247" t="s">
        <v>180</v>
      </c>
      <c r="CT159" s="246" t="s">
        <v>199</v>
      </c>
      <c r="CU159" s="247" t="s">
        <v>200</v>
      </c>
      <c r="CV159" s="3" t="str">
        <f t="shared" si="126"/>
        <v>90876;36523</v>
      </c>
      <c r="CW159" s="3" t="s">
        <v>168</v>
      </c>
      <c r="CX159" s="3" t="str">
        <f t="shared" si="127"/>
        <v>;;BB159:BD159;;</v>
      </c>
      <c r="CY159" s="5" t="str">
        <f t="shared" si="128"/>
        <v>Unlock</v>
      </c>
      <c r="CZ159" s="5" t="str">
        <f t="shared" si="129"/>
        <v>Lock</v>
      </c>
      <c r="DA159" s="5" t="str">
        <f t="shared" si="130"/>
        <v>Lock</v>
      </c>
      <c r="DB159" s="5" t="str">
        <f t="shared" si="131"/>
        <v>Lock</v>
      </c>
      <c r="DC159" s="5" t="str">
        <f t="shared" si="132"/>
        <v>Lock</v>
      </c>
      <c r="DD159" s="78">
        <f t="shared" si="133"/>
        <v>3</v>
      </c>
      <c r="DE159" s="2"/>
      <c r="DF159" s="2"/>
      <c r="DG159" s="2"/>
      <c r="DH159" s="2"/>
      <c r="DI159" s="2"/>
      <c r="DJ159" s="2"/>
      <c r="DK159" s="5"/>
      <c r="DL159" s="2"/>
      <c r="DM159" s="2"/>
      <c r="DN159" s="2"/>
      <c r="DO159" s="2"/>
      <c r="DP159" s="2"/>
      <c r="DQ159" s="2"/>
      <c r="DR159" s="2"/>
      <c r="DS159" s="2"/>
      <c r="DT159" s="2"/>
      <c r="DU159" s="2"/>
      <c r="DV159" s="2"/>
      <c r="DW159" s="2"/>
      <c r="DX159" s="2"/>
      <c r="DY159" s="2"/>
      <c r="DZ159" s="2"/>
      <c r="EA159" s="2"/>
      <c r="EB159" s="2"/>
      <c r="EC159" s="2"/>
      <c r="ED159" s="2"/>
      <c r="EE159" s="2"/>
      <c r="EF159" s="1"/>
      <c r="EG159" s="98"/>
      <c r="EH159" s="98"/>
      <c r="EI159" s="1"/>
      <c r="EJ159" s="1"/>
      <c r="EK159" s="98"/>
      <c r="EL159" s="1"/>
    </row>
    <row r="160" spans="1:142">
      <c r="A160" s="32">
        <f t="shared" si="92"/>
        <v>10233</v>
      </c>
      <c r="B160" s="3" t="str">
        <f t="shared" si="93"/>
        <v>sv_statement//Statement//Export Statement&amp;PDFID=James Foxworth_10233&amp;SO=Y</v>
      </c>
      <c r="C160" s="5" t="str">
        <f t="shared" si="134"/>
        <v>Statement</v>
      </c>
      <c r="D160" s="5" t="str">
        <f t="shared" si="94"/>
        <v>James Foxworth_10233</v>
      </c>
      <c r="E160" s="5"/>
      <c r="F160" s="5">
        <v>10233</v>
      </c>
      <c r="G160" s="22" t="s">
        <v>460</v>
      </c>
      <c r="H160" s="5" t="s">
        <v>214</v>
      </c>
      <c r="I160" s="5" t="s">
        <v>215</v>
      </c>
      <c r="J160" s="5" t="s">
        <v>208</v>
      </c>
      <c r="K160" s="5" t="s">
        <v>209</v>
      </c>
      <c r="L160" s="31">
        <f t="shared" si="95"/>
        <v>20714</v>
      </c>
      <c r="M160" s="5" t="s">
        <v>198</v>
      </c>
      <c r="N160" s="22" t="s">
        <v>155</v>
      </c>
      <c r="O160" s="100">
        <v>38397</v>
      </c>
      <c r="P160" s="146">
        <f>VLOOKUP(I160,'Job Codes'!$B$2:$I$120,4,FALSE)</f>
        <v>27000</v>
      </c>
      <c r="Q160" s="146">
        <f>VLOOKUP(I160,'Job Codes'!$B$2:$I$120,5,FALSE)</f>
        <v>35100</v>
      </c>
      <c r="R160" s="146">
        <f>VLOOKUP(I160,'Job Codes'!$B$2:$I$120,6,FALSE)</f>
        <v>42120</v>
      </c>
      <c r="S160" s="22" t="s">
        <v>171</v>
      </c>
      <c r="T160" s="146">
        <v>26790</v>
      </c>
      <c r="U160" s="8">
        <f>VLOOKUP(S160,Data!$H$22:$I$25,2,FALSE)*T160</f>
        <v>26790</v>
      </c>
      <c r="V160" s="180">
        <f t="shared" si="96"/>
        <v>0.7632478632478632</v>
      </c>
      <c r="W160" s="180">
        <f t="shared" si="97"/>
        <v>0.31019036954087348</v>
      </c>
      <c r="X160" s="22" t="str">
        <f t="shared" si="98"/>
        <v>Yes</v>
      </c>
      <c r="Y160" s="180">
        <f t="shared" si="99"/>
        <v>0.02</v>
      </c>
      <c r="Z160" s="146">
        <f t="shared" si="100"/>
        <v>535.79999999999995</v>
      </c>
      <c r="AA160" s="146">
        <f t="shared" si="101"/>
        <v>535.79999999999995</v>
      </c>
      <c r="AB160" s="72"/>
      <c r="AC160" s="146">
        <f>AB160/VLOOKUP(S160,Data!$H$22:$I$25,2,FALSE)</f>
        <v>0</v>
      </c>
      <c r="AD160" s="22" t="s">
        <v>157</v>
      </c>
      <c r="AE160" s="146">
        <f>VLOOKUP(S160,Data!$H$22:$J$25,3,FALSE)*T160</f>
        <v>803.69999999999993</v>
      </c>
      <c r="AF160" s="8">
        <f>VLOOKUP(S160,Data!$H$22:$I$25,2,FALSE)*AE160</f>
        <v>803.69999999999993</v>
      </c>
      <c r="AG160" s="8" t="s">
        <v>178</v>
      </c>
      <c r="AH160" s="23">
        <v>0.02</v>
      </c>
      <c r="AI160" s="72"/>
      <c r="AJ160" s="159">
        <f t="shared" si="102"/>
        <v>1.9999999999999997E-2</v>
      </c>
      <c r="AK160" s="168">
        <f t="shared" si="135"/>
        <v>535.79999999999995</v>
      </c>
      <c r="AL160" s="160">
        <f t="shared" si="136"/>
        <v>535.79999999999995</v>
      </c>
      <c r="AM160" s="168">
        <f t="shared" si="103"/>
        <v>27325.8</v>
      </c>
      <c r="AN160" s="160">
        <f t="shared" si="104"/>
        <v>27325.8</v>
      </c>
      <c r="AO160" s="160" t="str">
        <f t="shared" si="137"/>
        <v>No</v>
      </c>
      <c r="AP160" s="146">
        <f>IF(AQ160=0,0,AQ160/VLOOKUP(S160,Data!$H$22:$I$25,2,FALSE))</f>
        <v>0</v>
      </c>
      <c r="AQ160" s="183">
        <f t="shared" si="105"/>
        <v>0</v>
      </c>
      <c r="AR160" s="165">
        <f t="shared" si="106"/>
        <v>535.79999999999995</v>
      </c>
      <c r="AS160" s="183">
        <f t="shared" si="107"/>
        <v>535.79999999999995</v>
      </c>
      <c r="AT160" s="250">
        <f t="shared" si="108"/>
        <v>1.9999999999999997E-2</v>
      </c>
      <c r="AU160" s="146">
        <f t="shared" si="109"/>
        <v>27325.8</v>
      </c>
      <c r="AV160" s="8">
        <f t="shared" si="110"/>
        <v>27325.8</v>
      </c>
      <c r="AW160" s="8" t="str">
        <f t="shared" si="111"/>
        <v/>
      </c>
      <c r="AX160" s="180">
        <f t="shared" si="112"/>
        <v>0.77851282051282045</v>
      </c>
      <c r="AY160" s="146">
        <f t="shared" si="113"/>
        <v>0</v>
      </c>
      <c r="AZ160" s="146">
        <f t="shared" si="114"/>
        <v>0</v>
      </c>
      <c r="BA160" s="22" t="s">
        <v>159</v>
      </c>
      <c r="BB160" s="149"/>
      <c r="BC160" s="149"/>
      <c r="BD160" s="144"/>
      <c r="BE160" s="146" t="str">
        <f t="shared" si="115"/>
        <v/>
      </c>
      <c r="BF160" s="8" t="str">
        <f t="shared" si="116"/>
        <v/>
      </c>
      <c r="BG160" s="8" t="str">
        <f>IF(LEN(BC160)&gt;0,VLOOKUP(BC160,'Job Codes'!B153:I271,7,FALSE),"")</f>
        <v/>
      </c>
      <c r="BH160" s="192" t="str">
        <f>IF(LEN(BC160)&gt;0,VLOOKUP(BC160,'Job Codes'!B153:I271,8,FALSE),"")</f>
        <v/>
      </c>
      <c r="BI160" s="192" t="str">
        <f>IF(LEN(BC160)&gt;0,VLOOKUP(BC160,'Job Codes'!$B$2:$J$120,9,FALSE),"")</f>
        <v/>
      </c>
      <c r="BJ160" s="146" t="str">
        <f>IF(LEN(BC160)&gt;0,VLOOKUP(BC160,'Job Codes'!$B$2:$I$120,4,FALSE),"")</f>
        <v/>
      </c>
      <c r="BK160" s="146" t="str">
        <f>IF(LEN(BC160)&gt;0,VLOOKUP(BC160,'Job Codes'!$B$2:$I$120,5,FALSE),"")</f>
        <v/>
      </c>
      <c r="BL160" s="146" t="str">
        <f>IF(LEN(BC160)&gt;0,VLOOKUP(BC160,'Job Codes'!$B$2:$I$120,6,FALSE),"")</f>
        <v/>
      </c>
      <c r="BM160" s="168">
        <f t="shared" si="117"/>
        <v>27325.8</v>
      </c>
      <c r="BN160" s="160">
        <f t="shared" si="118"/>
        <v>27325.8</v>
      </c>
      <c r="BO160" s="22" t="s">
        <v>157</v>
      </c>
      <c r="BP160" s="157">
        <f>VLOOKUP(I160,'Job Codes'!$B$2:$I$120,8,FALSE)</f>
        <v>0.05</v>
      </c>
      <c r="BQ160" s="25" t="str">
        <f>IF(O160&gt;Data!$H$33,"Yes","No")</f>
        <v>No</v>
      </c>
      <c r="BR160" s="191">
        <v>0.05</v>
      </c>
      <c r="BS160" s="150">
        <f t="shared" si="119"/>
        <v>1339.5</v>
      </c>
      <c r="BT160" s="25">
        <f t="shared" si="120"/>
        <v>1339.5</v>
      </c>
      <c r="BU160" s="161">
        <v>1</v>
      </c>
      <c r="BV160" s="168">
        <f t="shared" si="121"/>
        <v>1339.5</v>
      </c>
      <c r="BW160" s="160">
        <f t="shared" si="122"/>
        <v>1339.5</v>
      </c>
      <c r="BX160" s="149"/>
      <c r="BY160" s="32">
        <f t="shared" si="123"/>
        <v>0</v>
      </c>
      <c r="BZ160" s="22" t="s">
        <v>159</v>
      </c>
      <c r="CA160" s="231">
        <f>VLOOKUP(I160,'Job Codes'!$B$2:$J$120,9,FALSE)</f>
        <v>0</v>
      </c>
      <c r="CB160" s="253">
        <f t="shared" si="124"/>
        <v>0</v>
      </c>
      <c r="CC160" s="72"/>
      <c r="CD160" s="25" t="str">
        <f t="shared" si="125"/>
        <v>Meets</v>
      </c>
      <c r="CE160" s="27"/>
      <c r="CF160" s="27"/>
      <c r="CG160" s="27"/>
      <c r="CH160" s="27"/>
      <c r="CI160" s="27"/>
      <c r="CJ160" s="3"/>
      <c r="CK160" s="3"/>
      <c r="CL160" s="3">
        <v>4569</v>
      </c>
      <c r="CM160" s="3" t="s">
        <v>161</v>
      </c>
      <c r="CN160" s="3">
        <v>4571</v>
      </c>
      <c r="CO160" s="3" t="s">
        <v>162</v>
      </c>
      <c r="CP160" s="3">
        <v>12345</v>
      </c>
      <c r="CQ160" s="3" t="s">
        <v>163</v>
      </c>
      <c r="CR160" s="246" t="s">
        <v>179</v>
      </c>
      <c r="CS160" s="247" t="s">
        <v>180</v>
      </c>
      <c r="CT160" s="246" t="s">
        <v>199</v>
      </c>
      <c r="CU160" s="247" t="s">
        <v>200</v>
      </c>
      <c r="CV160" s="3" t="str">
        <f t="shared" si="126"/>
        <v>90876;36523</v>
      </c>
      <c r="CW160" s="3" t="s">
        <v>168</v>
      </c>
      <c r="CX160" s="3" t="str">
        <f t="shared" si="127"/>
        <v>;;BB160:BD160;;CC160</v>
      </c>
      <c r="CY160" s="5" t="str">
        <f t="shared" si="128"/>
        <v>Unlock</v>
      </c>
      <c r="CZ160" s="5" t="str">
        <f t="shared" si="129"/>
        <v>Lock</v>
      </c>
      <c r="DA160" s="5" t="str">
        <f t="shared" si="130"/>
        <v>Lock</v>
      </c>
      <c r="DB160" s="5" t="str">
        <f t="shared" si="131"/>
        <v>Lock</v>
      </c>
      <c r="DC160" s="5" t="str">
        <f t="shared" si="132"/>
        <v>Lock</v>
      </c>
      <c r="DD160" s="78">
        <f t="shared" si="133"/>
        <v>3</v>
      </c>
      <c r="DE160" s="2"/>
      <c r="DF160" s="2"/>
      <c r="DG160" s="2"/>
      <c r="DH160" s="2"/>
      <c r="DI160" s="2"/>
      <c r="DJ160" s="2"/>
      <c r="DK160" s="5"/>
      <c r="DL160" s="2"/>
      <c r="DM160" s="2"/>
      <c r="DN160" s="2"/>
      <c r="DO160" s="2"/>
      <c r="DP160" s="2"/>
      <c r="DQ160" s="2"/>
      <c r="DR160" s="2"/>
      <c r="DS160" s="2"/>
      <c r="DT160" s="2"/>
      <c r="DU160" s="2"/>
      <c r="DV160" s="2"/>
      <c r="DW160" s="2"/>
      <c r="DX160" s="2"/>
      <c r="DY160" s="2"/>
      <c r="DZ160" s="2"/>
      <c r="EA160" s="2"/>
      <c r="EB160" s="2"/>
      <c r="EC160" s="2"/>
      <c r="ED160" s="2"/>
      <c r="EE160" s="2"/>
      <c r="EF160" s="1"/>
      <c r="EG160" s="98"/>
      <c r="EH160" s="98"/>
      <c r="EI160" s="1"/>
      <c r="EJ160" s="1"/>
      <c r="EK160" s="98"/>
      <c r="EL160" s="1"/>
    </row>
    <row r="161" spans="1:142">
      <c r="A161" s="32">
        <f t="shared" si="92"/>
        <v>10241</v>
      </c>
      <c r="B161" s="3" t="str">
        <f t="shared" si="93"/>
        <v>sv_statement//Statement//Export Statement&amp;PDFID=Tony Fisk_10241&amp;SO=Y</v>
      </c>
      <c r="C161" s="5" t="str">
        <f t="shared" si="134"/>
        <v>Statement</v>
      </c>
      <c r="D161" s="5" t="str">
        <f t="shared" si="94"/>
        <v>Tony Fisk_10241</v>
      </c>
      <c r="E161" s="5"/>
      <c r="F161" s="5">
        <v>10241</v>
      </c>
      <c r="G161" s="22" t="s">
        <v>461</v>
      </c>
      <c r="H161" s="5" t="s">
        <v>214</v>
      </c>
      <c r="I161" s="5" t="s">
        <v>225</v>
      </c>
      <c r="J161" s="5" t="s">
        <v>208</v>
      </c>
      <c r="K161" s="5" t="s">
        <v>209</v>
      </c>
      <c r="L161" s="31">
        <f t="shared" si="95"/>
        <v>20714</v>
      </c>
      <c r="M161" s="5" t="s">
        <v>198</v>
      </c>
      <c r="N161" s="22" t="s">
        <v>155</v>
      </c>
      <c r="O161" s="100">
        <v>38397</v>
      </c>
      <c r="P161" s="146">
        <f>VLOOKUP(I161,'Job Codes'!$B$2:$I$120,4,FALSE)</f>
        <v>27000</v>
      </c>
      <c r="Q161" s="146">
        <f>VLOOKUP(I161,'Job Codes'!$B$2:$I$120,5,FALSE)</f>
        <v>35100</v>
      </c>
      <c r="R161" s="146">
        <f>VLOOKUP(I161,'Job Codes'!$B$2:$I$120,6,FALSE)</f>
        <v>42120</v>
      </c>
      <c r="S161" s="22" t="s">
        <v>171</v>
      </c>
      <c r="T161" s="146">
        <v>25709</v>
      </c>
      <c r="U161" s="8">
        <f>VLOOKUP(S161,Data!$H$22:$I$25,2,FALSE)*T161</f>
        <v>25709</v>
      </c>
      <c r="V161" s="180">
        <f t="shared" si="96"/>
        <v>0.73245014245014251</v>
      </c>
      <c r="W161" s="180">
        <f t="shared" si="97"/>
        <v>0.36528064102065427</v>
      </c>
      <c r="X161" s="22" t="str">
        <f t="shared" si="98"/>
        <v>Yes</v>
      </c>
      <c r="Y161" s="180">
        <f t="shared" si="99"/>
        <v>0.02</v>
      </c>
      <c r="Z161" s="146">
        <f t="shared" si="100"/>
        <v>514.18000000000006</v>
      </c>
      <c r="AA161" s="146">
        <f t="shared" si="101"/>
        <v>514.18000000000006</v>
      </c>
      <c r="AB161" s="72"/>
      <c r="AC161" s="146">
        <f>AB161/VLOOKUP(S161,Data!$H$22:$I$25,2,FALSE)</f>
        <v>0</v>
      </c>
      <c r="AD161" s="22" t="s">
        <v>157</v>
      </c>
      <c r="AE161" s="146">
        <f>VLOOKUP(S161,Data!$H$22:$J$25,3,FALSE)*T161</f>
        <v>771.27</v>
      </c>
      <c r="AF161" s="8">
        <f>VLOOKUP(S161,Data!$H$22:$I$25,2,FALSE)*AE161</f>
        <v>771.27</v>
      </c>
      <c r="AG161" s="8" t="s">
        <v>178</v>
      </c>
      <c r="AH161" s="23">
        <v>0.01</v>
      </c>
      <c r="AI161" s="72"/>
      <c r="AJ161" s="159">
        <f t="shared" si="102"/>
        <v>1.0000000000000002E-2</v>
      </c>
      <c r="AK161" s="168">
        <f t="shared" si="135"/>
        <v>257.09000000000003</v>
      </c>
      <c r="AL161" s="160">
        <f t="shared" si="136"/>
        <v>257.09000000000003</v>
      </c>
      <c r="AM161" s="168">
        <f t="shared" si="103"/>
        <v>25966.09</v>
      </c>
      <c r="AN161" s="160">
        <f t="shared" si="104"/>
        <v>25966.09</v>
      </c>
      <c r="AO161" s="160" t="str">
        <f t="shared" si="137"/>
        <v>No</v>
      </c>
      <c r="AP161" s="146">
        <f>IF(AQ161=0,0,AQ161/VLOOKUP(S161,Data!$H$22:$I$25,2,FALSE))</f>
        <v>0</v>
      </c>
      <c r="AQ161" s="183">
        <f t="shared" si="105"/>
        <v>0</v>
      </c>
      <c r="AR161" s="165">
        <f t="shared" si="106"/>
        <v>257.09000000000003</v>
      </c>
      <c r="AS161" s="183">
        <f t="shared" si="107"/>
        <v>257.09000000000003</v>
      </c>
      <c r="AT161" s="250">
        <f t="shared" si="108"/>
        <v>1.0000000000000002E-2</v>
      </c>
      <c r="AU161" s="146">
        <f t="shared" si="109"/>
        <v>25966.09</v>
      </c>
      <c r="AV161" s="8">
        <f t="shared" si="110"/>
        <v>25966.09</v>
      </c>
      <c r="AW161" s="8" t="str">
        <f t="shared" si="111"/>
        <v/>
      </c>
      <c r="AX161" s="180">
        <f t="shared" si="112"/>
        <v>0.73977464387464387</v>
      </c>
      <c r="AY161" s="146">
        <f t="shared" si="113"/>
        <v>0</v>
      </c>
      <c r="AZ161" s="146">
        <f t="shared" si="114"/>
        <v>0</v>
      </c>
      <c r="BA161" s="22" t="s">
        <v>159</v>
      </c>
      <c r="BB161" s="149"/>
      <c r="BC161" s="149"/>
      <c r="BD161" s="144"/>
      <c r="BE161" s="146" t="str">
        <f t="shared" si="115"/>
        <v/>
      </c>
      <c r="BF161" s="8" t="str">
        <f t="shared" si="116"/>
        <v/>
      </c>
      <c r="BG161" s="8" t="str">
        <f>IF(LEN(BC161)&gt;0,VLOOKUP(BC161,'Job Codes'!B154:I272,7,FALSE),"")</f>
        <v/>
      </c>
      <c r="BH161" s="192" t="str">
        <f>IF(LEN(BC161)&gt;0,VLOOKUP(BC161,'Job Codes'!B154:I272,8,FALSE),"")</f>
        <v/>
      </c>
      <c r="BI161" s="192" t="str">
        <f>IF(LEN(BC161)&gt;0,VLOOKUP(BC161,'Job Codes'!$B$2:$J$120,9,FALSE),"")</f>
        <v/>
      </c>
      <c r="BJ161" s="146" t="str">
        <f>IF(LEN(BC161)&gt;0,VLOOKUP(BC161,'Job Codes'!$B$2:$I$120,4,FALSE),"")</f>
        <v/>
      </c>
      <c r="BK161" s="146" t="str">
        <f>IF(LEN(BC161)&gt;0,VLOOKUP(BC161,'Job Codes'!$B$2:$I$120,5,FALSE),"")</f>
        <v/>
      </c>
      <c r="BL161" s="146" t="str">
        <f>IF(LEN(BC161)&gt;0,VLOOKUP(BC161,'Job Codes'!$B$2:$I$120,6,FALSE),"")</f>
        <v/>
      </c>
      <c r="BM161" s="168">
        <f t="shared" si="117"/>
        <v>25966.09</v>
      </c>
      <c r="BN161" s="160">
        <f t="shared" si="118"/>
        <v>25966.09</v>
      </c>
      <c r="BO161" s="22" t="s">
        <v>157</v>
      </c>
      <c r="BP161" s="157">
        <f>VLOOKUP(I161,'Job Codes'!$B$2:$I$120,8,FALSE)</f>
        <v>0.05</v>
      </c>
      <c r="BQ161" s="25" t="str">
        <f>IF(O161&gt;Data!$H$33,"Yes","No")</f>
        <v>No</v>
      </c>
      <c r="BR161" s="191">
        <v>0.05</v>
      </c>
      <c r="BS161" s="150">
        <f t="shared" si="119"/>
        <v>1285.45</v>
      </c>
      <c r="BT161" s="25">
        <f t="shared" si="120"/>
        <v>1285.45</v>
      </c>
      <c r="BU161" s="161">
        <v>1</v>
      </c>
      <c r="BV161" s="168">
        <f t="shared" si="121"/>
        <v>1285.45</v>
      </c>
      <c r="BW161" s="160">
        <f t="shared" si="122"/>
        <v>1285.45</v>
      </c>
      <c r="BX161" s="149"/>
      <c r="BY161" s="32">
        <f t="shared" si="123"/>
        <v>0</v>
      </c>
      <c r="BZ161" s="22" t="s">
        <v>159</v>
      </c>
      <c r="CA161" s="231">
        <f>VLOOKUP(I161,'Job Codes'!$B$2:$J$120,9,FALSE)</f>
        <v>0</v>
      </c>
      <c r="CB161" s="253">
        <f t="shared" si="124"/>
        <v>0</v>
      </c>
      <c r="CC161" s="72"/>
      <c r="CD161" s="25" t="str">
        <f t="shared" si="125"/>
        <v>Meets</v>
      </c>
      <c r="CE161" s="27"/>
      <c r="CF161" s="27"/>
      <c r="CG161" s="27"/>
      <c r="CH161" s="27"/>
      <c r="CI161" s="27"/>
      <c r="CJ161" s="3"/>
      <c r="CK161" s="3"/>
      <c r="CL161" s="3">
        <v>4569</v>
      </c>
      <c r="CM161" s="3" t="s">
        <v>161</v>
      </c>
      <c r="CN161" s="3">
        <v>4571</v>
      </c>
      <c r="CO161" s="3" t="s">
        <v>162</v>
      </c>
      <c r="CP161" s="3">
        <v>12345</v>
      </c>
      <c r="CQ161" s="3" t="s">
        <v>163</v>
      </c>
      <c r="CR161" s="246" t="s">
        <v>179</v>
      </c>
      <c r="CS161" s="247" t="s">
        <v>180</v>
      </c>
      <c r="CT161" s="246" t="s">
        <v>199</v>
      </c>
      <c r="CU161" s="247" t="s">
        <v>200</v>
      </c>
      <c r="CV161" s="3" t="str">
        <f t="shared" si="126"/>
        <v>90876;36523</v>
      </c>
      <c r="CW161" s="3" t="s">
        <v>168</v>
      </c>
      <c r="CX161" s="3" t="str">
        <f t="shared" si="127"/>
        <v>;;BB161:BD161;;CC161</v>
      </c>
      <c r="CY161" s="5" t="str">
        <f t="shared" si="128"/>
        <v>Unlock</v>
      </c>
      <c r="CZ161" s="5" t="str">
        <f t="shared" si="129"/>
        <v>Lock</v>
      </c>
      <c r="DA161" s="5" t="str">
        <f t="shared" si="130"/>
        <v>Lock</v>
      </c>
      <c r="DB161" s="5" t="str">
        <f t="shared" si="131"/>
        <v>Lock</v>
      </c>
      <c r="DC161" s="5" t="str">
        <f t="shared" si="132"/>
        <v>Lock</v>
      </c>
      <c r="DD161" s="78">
        <f t="shared" si="133"/>
        <v>3</v>
      </c>
      <c r="DE161" s="2"/>
      <c r="DF161" s="2"/>
      <c r="DG161" s="2"/>
      <c r="DH161" s="2"/>
      <c r="DI161" s="2"/>
      <c r="DJ161" s="2"/>
      <c r="DK161" s="5"/>
      <c r="DL161" s="2"/>
      <c r="DM161" s="2"/>
      <c r="DN161" s="2"/>
      <c r="DO161" s="2"/>
      <c r="DP161" s="2"/>
      <c r="DQ161" s="2"/>
      <c r="DR161" s="2"/>
      <c r="DS161" s="2"/>
      <c r="DT161" s="2"/>
      <c r="DU161" s="2"/>
      <c r="DV161" s="2"/>
      <c r="DW161" s="2"/>
      <c r="DX161" s="2"/>
      <c r="DY161" s="2"/>
      <c r="DZ161" s="2"/>
      <c r="EA161" s="2"/>
      <c r="EB161" s="2"/>
      <c r="EC161" s="2"/>
      <c r="ED161" s="2"/>
      <c r="EE161" s="2"/>
      <c r="EF161" s="1"/>
      <c r="EG161" s="98"/>
      <c r="EH161" s="98"/>
      <c r="EI161" s="1"/>
      <c r="EJ161" s="1"/>
      <c r="EK161" s="98"/>
      <c r="EL161" s="1"/>
    </row>
    <row r="162" spans="1:142">
      <c r="A162" s="32">
        <f t="shared" si="92"/>
        <v>10267</v>
      </c>
      <c r="B162" s="3" t="str">
        <f t="shared" si="93"/>
        <v>sv_statement//Statement//Export Statement&amp;PDFID=Shawn Schmid_10267&amp;SO=Y</v>
      </c>
      <c r="C162" s="5" t="str">
        <f t="shared" si="134"/>
        <v>Statement</v>
      </c>
      <c r="D162" s="5" t="str">
        <f t="shared" si="94"/>
        <v>Shawn Schmid_10267</v>
      </c>
      <c r="E162" s="5"/>
      <c r="F162" s="5">
        <v>10267</v>
      </c>
      <c r="G162" s="22" t="s">
        <v>462</v>
      </c>
      <c r="H162" s="5" t="s">
        <v>214</v>
      </c>
      <c r="I162" s="5" t="s">
        <v>388</v>
      </c>
      <c r="J162" s="5" t="s">
        <v>208</v>
      </c>
      <c r="K162" s="5" t="s">
        <v>209</v>
      </c>
      <c r="L162" s="31">
        <f t="shared" si="95"/>
        <v>20714</v>
      </c>
      <c r="M162" s="5" t="s">
        <v>198</v>
      </c>
      <c r="N162" s="22" t="s">
        <v>155</v>
      </c>
      <c r="O162" s="100">
        <v>38398</v>
      </c>
      <c r="P162" s="146">
        <f>VLOOKUP(I162,'Job Codes'!$B$2:$I$120,4,FALSE)</f>
        <v>29000</v>
      </c>
      <c r="Q162" s="146">
        <f>VLOOKUP(I162,'Job Codes'!$B$2:$I$120,5,FALSE)</f>
        <v>37700</v>
      </c>
      <c r="R162" s="146">
        <f>VLOOKUP(I162,'Job Codes'!$B$2:$I$120,6,FALSE)</f>
        <v>45240</v>
      </c>
      <c r="S162" s="22" t="s">
        <v>171</v>
      </c>
      <c r="T162" s="146">
        <v>36046</v>
      </c>
      <c r="U162" s="8">
        <f>VLOOKUP(S162,Data!$H$22:$I$25,2,FALSE)*T162</f>
        <v>36046</v>
      </c>
      <c r="V162" s="180">
        <f t="shared" si="96"/>
        <v>0.95612732095490716</v>
      </c>
      <c r="W162" s="180">
        <f t="shared" si="97"/>
        <v>4.5885812572823613E-2</v>
      </c>
      <c r="X162" s="22" t="str">
        <f t="shared" si="98"/>
        <v>No</v>
      </c>
      <c r="Y162" s="180">
        <f t="shared" si="99"/>
        <v>0</v>
      </c>
      <c r="Z162" s="146">
        <f t="shared" si="100"/>
        <v>0</v>
      </c>
      <c r="AA162" s="146">
        <f t="shared" si="101"/>
        <v>0</v>
      </c>
      <c r="AB162" s="72"/>
      <c r="AC162" s="146">
        <f>AB162/VLOOKUP(S162,Data!$H$22:$I$25,2,FALSE)</f>
        <v>0</v>
      </c>
      <c r="AD162" s="22" t="s">
        <v>157</v>
      </c>
      <c r="AE162" s="146">
        <f>VLOOKUP(S162,Data!$H$22:$J$25,3,FALSE)*T162</f>
        <v>1081.3799999999999</v>
      </c>
      <c r="AF162" s="8">
        <f>VLOOKUP(S162,Data!$H$22:$I$25,2,FALSE)*AE162</f>
        <v>1081.3799999999999</v>
      </c>
      <c r="AG162" s="8" t="s">
        <v>178</v>
      </c>
      <c r="AH162" s="23">
        <v>0.02</v>
      </c>
      <c r="AI162" s="72"/>
      <c r="AJ162" s="159">
        <f t="shared" si="102"/>
        <v>0.02</v>
      </c>
      <c r="AK162" s="168">
        <f t="shared" si="135"/>
        <v>720.92</v>
      </c>
      <c r="AL162" s="160">
        <f t="shared" si="136"/>
        <v>720.92</v>
      </c>
      <c r="AM162" s="168">
        <f t="shared" si="103"/>
        <v>36766.92</v>
      </c>
      <c r="AN162" s="160">
        <f t="shared" si="104"/>
        <v>36766.92</v>
      </c>
      <c r="AO162" s="160" t="str">
        <f t="shared" si="137"/>
        <v>No</v>
      </c>
      <c r="AP162" s="146">
        <f>IF(AQ162=0,0,AQ162/VLOOKUP(S162,Data!$H$22:$I$25,2,FALSE))</f>
        <v>0</v>
      </c>
      <c r="AQ162" s="183">
        <f t="shared" si="105"/>
        <v>0</v>
      </c>
      <c r="AR162" s="165">
        <f t="shared" si="106"/>
        <v>720.92</v>
      </c>
      <c r="AS162" s="183">
        <f t="shared" si="107"/>
        <v>720.92</v>
      </c>
      <c r="AT162" s="250">
        <f t="shared" si="108"/>
        <v>0.02</v>
      </c>
      <c r="AU162" s="146">
        <f t="shared" si="109"/>
        <v>36766.92</v>
      </c>
      <c r="AV162" s="8">
        <f t="shared" si="110"/>
        <v>36766.92</v>
      </c>
      <c r="AW162" s="8" t="str">
        <f t="shared" si="111"/>
        <v/>
      </c>
      <c r="AX162" s="180">
        <f t="shared" si="112"/>
        <v>0.97524986737400521</v>
      </c>
      <c r="AY162" s="146">
        <f t="shared" si="113"/>
        <v>0</v>
      </c>
      <c r="AZ162" s="146">
        <f t="shared" si="114"/>
        <v>0</v>
      </c>
      <c r="BA162" s="22" t="s">
        <v>159</v>
      </c>
      <c r="BB162" s="149"/>
      <c r="BC162" s="149"/>
      <c r="BD162" s="144"/>
      <c r="BE162" s="146" t="str">
        <f t="shared" si="115"/>
        <v/>
      </c>
      <c r="BF162" s="8" t="str">
        <f t="shared" si="116"/>
        <v/>
      </c>
      <c r="BG162" s="8" t="str">
        <f>IF(LEN(BC162)&gt;0,VLOOKUP(BC162,'Job Codes'!B155:I273,7,FALSE),"")</f>
        <v/>
      </c>
      <c r="BH162" s="192" t="str">
        <f>IF(LEN(BC162)&gt;0,VLOOKUP(BC162,'Job Codes'!B155:I273,8,FALSE),"")</f>
        <v/>
      </c>
      <c r="BI162" s="192" t="str">
        <f>IF(LEN(BC162)&gt;0,VLOOKUP(BC162,'Job Codes'!$B$2:$J$120,9,FALSE),"")</f>
        <v/>
      </c>
      <c r="BJ162" s="146" t="str">
        <f>IF(LEN(BC162)&gt;0,VLOOKUP(BC162,'Job Codes'!$B$2:$I$120,4,FALSE),"")</f>
        <v/>
      </c>
      <c r="BK162" s="146" t="str">
        <f>IF(LEN(BC162)&gt;0,VLOOKUP(BC162,'Job Codes'!$B$2:$I$120,5,FALSE),"")</f>
        <v/>
      </c>
      <c r="BL162" s="146" t="str">
        <f>IF(LEN(BC162)&gt;0,VLOOKUP(BC162,'Job Codes'!$B$2:$I$120,6,FALSE),"")</f>
        <v/>
      </c>
      <c r="BM162" s="168">
        <f t="shared" si="117"/>
        <v>36766.92</v>
      </c>
      <c r="BN162" s="160">
        <f t="shared" si="118"/>
        <v>36766.92</v>
      </c>
      <c r="BO162" s="22" t="s">
        <v>157</v>
      </c>
      <c r="BP162" s="157">
        <f>VLOOKUP(I162,'Job Codes'!$B$2:$I$120,8,FALSE)</f>
        <v>0.1</v>
      </c>
      <c r="BQ162" s="25" t="str">
        <f>IF(O162&gt;Data!$H$33,"Yes","No")</f>
        <v>No</v>
      </c>
      <c r="BR162" s="191">
        <v>0.1</v>
      </c>
      <c r="BS162" s="150">
        <f t="shared" si="119"/>
        <v>3604.6000000000004</v>
      </c>
      <c r="BT162" s="25">
        <f t="shared" si="120"/>
        <v>3604.6000000000004</v>
      </c>
      <c r="BU162" s="161">
        <v>1</v>
      </c>
      <c r="BV162" s="168">
        <f t="shared" si="121"/>
        <v>3604.6000000000004</v>
      </c>
      <c r="BW162" s="160">
        <f t="shared" si="122"/>
        <v>3604.6000000000004</v>
      </c>
      <c r="BX162" s="149"/>
      <c r="BY162" s="32">
        <f t="shared" si="123"/>
        <v>0</v>
      </c>
      <c r="BZ162" s="22" t="s">
        <v>157</v>
      </c>
      <c r="CA162" s="231">
        <f>VLOOKUP(I162,'Job Codes'!$B$2:$J$120,9,FALSE)</f>
        <v>0.05</v>
      </c>
      <c r="CB162" s="253">
        <f t="shared" si="124"/>
        <v>1802.3000000000002</v>
      </c>
      <c r="CC162" s="72"/>
      <c r="CD162" s="25" t="str">
        <f t="shared" si="125"/>
        <v>Meets</v>
      </c>
      <c r="CE162" s="27"/>
      <c r="CF162" s="27"/>
      <c r="CG162" s="27"/>
      <c r="CH162" s="27"/>
      <c r="CI162" s="27"/>
      <c r="CJ162" s="3"/>
      <c r="CK162" s="3"/>
      <c r="CL162" s="3">
        <v>4569</v>
      </c>
      <c r="CM162" s="3" t="s">
        <v>161</v>
      </c>
      <c r="CN162" s="3">
        <v>4571</v>
      </c>
      <c r="CO162" s="3" t="s">
        <v>162</v>
      </c>
      <c r="CP162" s="3">
        <v>12345</v>
      </c>
      <c r="CQ162" s="3" t="s">
        <v>163</v>
      </c>
      <c r="CR162" s="246" t="s">
        <v>179</v>
      </c>
      <c r="CS162" s="247" t="s">
        <v>180</v>
      </c>
      <c r="CT162" s="246" t="s">
        <v>199</v>
      </c>
      <c r="CU162" s="247" t="s">
        <v>200</v>
      </c>
      <c r="CV162" s="3" t="str">
        <f t="shared" si="126"/>
        <v>90876;36523</v>
      </c>
      <c r="CW162" s="3" t="s">
        <v>168</v>
      </c>
      <c r="CX162" s="3" t="str">
        <f t="shared" si="127"/>
        <v>AB162;;BB162:BD162;;</v>
      </c>
      <c r="CY162" s="5" t="str">
        <f t="shared" si="128"/>
        <v>Unlock</v>
      </c>
      <c r="CZ162" s="5" t="str">
        <f t="shared" si="129"/>
        <v>Lock</v>
      </c>
      <c r="DA162" s="5" t="str">
        <f t="shared" si="130"/>
        <v>Lock</v>
      </c>
      <c r="DB162" s="5" t="str">
        <f t="shared" si="131"/>
        <v>Lock</v>
      </c>
      <c r="DC162" s="5" t="str">
        <f t="shared" si="132"/>
        <v>Lock</v>
      </c>
      <c r="DD162" s="78">
        <f t="shared" si="133"/>
        <v>3</v>
      </c>
      <c r="DE162" s="2"/>
      <c r="DF162" s="2"/>
      <c r="DG162" s="2"/>
      <c r="DH162" s="2"/>
      <c r="DI162" s="2"/>
      <c r="DJ162" s="2"/>
      <c r="DK162" s="5"/>
      <c r="DL162" s="2"/>
      <c r="DM162" s="2"/>
      <c r="DN162" s="2"/>
      <c r="DO162" s="2"/>
      <c r="DP162" s="2"/>
      <c r="DQ162" s="2"/>
      <c r="DR162" s="2"/>
      <c r="DS162" s="2"/>
      <c r="DT162" s="2"/>
      <c r="DU162" s="2"/>
      <c r="DV162" s="2"/>
      <c r="DW162" s="2"/>
      <c r="DX162" s="2"/>
      <c r="DY162" s="2"/>
      <c r="DZ162" s="2"/>
      <c r="EA162" s="2"/>
      <c r="EB162" s="2"/>
      <c r="EC162" s="2"/>
      <c r="ED162" s="2"/>
      <c r="EE162" s="2"/>
      <c r="EF162" s="1"/>
      <c r="EG162" s="98"/>
      <c r="EH162" s="98"/>
      <c r="EI162" s="1"/>
      <c r="EJ162" s="1"/>
      <c r="EK162" s="98"/>
      <c r="EL162" s="1"/>
    </row>
    <row r="163" spans="1:142">
      <c r="A163" s="32">
        <f t="shared" si="92"/>
        <v>10274</v>
      </c>
      <c r="B163" s="3" t="str">
        <f t="shared" si="93"/>
        <v>sv_statement//Statement//Export Statement&amp;PDFID=April Weiser_10274&amp;SO=Y</v>
      </c>
      <c r="C163" s="5" t="str">
        <f t="shared" si="134"/>
        <v>Statement</v>
      </c>
      <c r="D163" s="5" t="str">
        <f t="shared" si="94"/>
        <v>April Weiser_10274</v>
      </c>
      <c r="E163" s="5"/>
      <c r="F163" s="5">
        <v>10274</v>
      </c>
      <c r="G163" s="22" t="s">
        <v>463</v>
      </c>
      <c r="H163" s="5" t="s">
        <v>367</v>
      </c>
      <c r="I163" s="5" t="s">
        <v>444</v>
      </c>
      <c r="J163" s="5" t="s">
        <v>252</v>
      </c>
      <c r="K163" s="5" t="s">
        <v>333</v>
      </c>
      <c r="L163" s="31">
        <f t="shared" si="95"/>
        <v>29326</v>
      </c>
      <c r="M163" s="5" t="s">
        <v>334</v>
      </c>
      <c r="N163" s="22" t="s">
        <v>155</v>
      </c>
      <c r="O163" s="100">
        <v>38396</v>
      </c>
      <c r="P163" s="146">
        <f>VLOOKUP(I163,'Job Codes'!$B$2:$I$120,4,FALSE)</f>
        <v>27000</v>
      </c>
      <c r="Q163" s="146">
        <f>VLOOKUP(I163,'Job Codes'!$B$2:$I$120,5,FALSE)</f>
        <v>35100</v>
      </c>
      <c r="R163" s="146">
        <f>VLOOKUP(I163,'Job Codes'!$B$2:$I$120,6,FALSE)</f>
        <v>42120</v>
      </c>
      <c r="S163" s="22" t="s">
        <v>171</v>
      </c>
      <c r="T163" s="146">
        <v>35714</v>
      </c>
      <c r="U163" s="8">
        <f>VLOOKUP(S163,Data!$H$22:$I$25,2,FALSE)*T163</f>
        <v>35714</v>
      </c>
      <c r="V163" s="180">
        <f t="shared" si="96"/>
        <v>1.0174928774928775</v>
      </c>
      <c r="W163" s="180">
        <f t="shared" si="97"/>
        <v>0</v>
      </c>
      <c r="X163" s="22" t="str">
        <f t="shared" si="98"/>
        <v>No</v>
      </c>
      <c r="Y163" s="180">
        <f t="shared" si="99"/>
        <v>0</v>
      </c>
      <c r="Z163" s="146">
        <f t="shared" si="100"/>
        <v>0</v>
      </c>
      <c r="AA163" s="146">
        <f t="shared" si="101"/>
        <v>0</v>
      </c>
      <c r="AB163" s="72"/>
      <c r="AC163" s="146">
        <f>AB163/VLOOKUP(S163,Data!$H$22:$I$25,2,FALSE)</f>
        <v>0</v>
      </c>
      <c r="AD163" s="22" t="s">
        <v>157</v>
      </c>
      <c r="AE163" s="146">
        <f>VLOOKUP(S163,Data!$H$22:$J$25,3,FALSE)*T163</f>
        <v>1071.42</v>
      </c>
      <c r="AF163" s="8">
        <f>VLOOKUP(S163,Data!$H$22:$I$25,2,FALSE)*AE163</f>
        <v>1071.42</v>
      </c>
      <c r="AG163" s="8" t="s">
        <v>172</v>
      </c>
      <c r="AH163" s="23">
        <v>0</v>
      </c>
      <c r="AI163" s="72"/>
      <c r="AJ163" s="159">
        <f t="shared" si="102"/>
        <v>0</v>
      </c>
      <c r="AK163" s="168">
        <f t="shared" si="135"/>
        <v>0</v>
      </c>
      <c r="AL163" s="160">
        <f t="shared" si="136"/>
        <v>0</v>
      </c>
      <c r="AM163" s="168">
        <f t="shared" si="103"/>
        <v>35714</v>
      </c>
      <c r="AN163" s="160">
        <f t="shared" si="104"/>
        <v>35714</v>
      </c>
      <c r="AO163" s="160" t="str">
        <f t="shared" si="137"/>
        <v>No</v>
      </c>
      <c r="AP163" s="146">
        <f>IF(AQ163=0,0,AQ163/VLOOKUP(S163,Data!$H$22:$I$25,2,FALSE))</f>
        <v>0</v>
      </c>
      <c r="AQ163" s="183">
        <f t="shared" si="105"/>
        <v>0</v>
      </c>
      <c r="AR163" s="165">
        <f t="shared" si="106"/>
        <v>0</v>
      </c>
      <c r="AS163" s="183">
        <f t="shared" si="107"/>
        <v>0</v>
      </c>
      <c r="AT163" s="250">
        <f t="shared" si="108"/>
        <v>0</v>
      </c>
      <c r="AU163" s="146">
        <f t="shared" si="109"/>
        <v>35714</v>
      </c>
      <c r="AV163" s="8">
        <f t="shared" si="110"/>
        <v>35714</v>
      </c>
      <c r="AW163" s="8" t="str">
        <f t="shared" si="111"/>
        <v/>
      </c>
      <c r="AX163" s="180">
        <f t="shared" si="112"/>
        <v>1.0174928774928775</v>
      </c>
      <c r="AY163" s="146">
        <f t="shared" si="113"/>
        <v>0</v>
      </c>
      <c r="AZ163" s="146">
        <f t="shared" si="114"/>
        <v>0</v>
      </c>
      <c r="BA163" s="22" t="s">
        <v>159</v>
      </c>
      <c r="BB163" s="149"/>
      <c r="BC163" s="149"/>
      <c r="BD163" s="144"/>
      <c r="BE163" s="146" t="str">
        <f t="shared" si="115"/>
        <v/>
      </c>
      <c r="BF163" s="8" t="str">
        <f t="shared" si="116"/>
        <v/>
      </c>
      <c r="BG163" s="8" t="str">
        <f>IF(LEN(BC163)&gt;0,VLOOKUP(BC163,'Job Codes'!B156:I274,7,FALSE),"")</f>
        <v/>
      </c>
      <c r="BH163" s="192" t="str">
        <f>IF(LEN(BC163)&gt;0,VLOOKUP(BC163,'Job Codes'!B156:I274,8,FALSE),"")</f>
        <v/>
      </c>
      <c r="BI163" s="192" t="str">
        <f>IF(LEN(BC163)&gt;0,VLOOKUP(BC163,'Job Codes'!$B$2:$J$120,9,FALSE),"")</f>
        <v/>
      </c>
      <c r="BJ163" s="146" t="str">
        <f>IF(LEN(BC163)&gt;0,VLOOKUP(BC163,'Job Codes'!$B$2:$I$120,4,FALSE),"")</f>
        <v/>
      </c>
      <c r="BK163" s="146" t="str">
        <f>IF(LEN(BC163)&gt;0,VLOOKUP(BC163,'Job Codes'!$B$2:$I$120,5,FALSE),"")</f>
        <v/>
      </c>
      <c r="BL163" s="146" t="str">
        <f>IF(LEN(BC163)&gt;0,VLOOKUP(BC163,'Job Codes'!$B$2:$I$120,6,FALSE),"")</f>
        <v/>
      </c>
      <c r="BM163" s="168">
        <f t="shared" si="117"/>
        <v>35714</v>
      </c>
      <c r="BN163" s="160">
        <f t="shared" si="118"/>
        <v>35714</v>
      </c>
      <c r="BO163" s="22" t="s">
        <v>157</v>
      </c>
      <c r="BP163" s="157">
        <f>VLOOKUP(I163,'Job Codes'!$B$2:$I$120,8,FALSE)</f>
        <v>0.05</v>
      </c>
      <c r="BQ163" s="25" t="str">
        <f>IF(O163&gt;Data!$H$33,"Yes","No")</f>
        <v>No</v>
      </c>
      <c r="BR163" s="191">
        <v>0.05</v>
      </c>
      <c r="BS163" s="150">
        <f t="shared" si="119"/>
        <v>1785.7</v>
      </c>
      <c r="BT163" s="25">
        <f t="shared" si="120"/>
        <v>1785.7</v>
      </c>
      <c r="BU163" s="161">
        <v>1</v>
      </c>
      <c r="BV163" s="168">
        <f t="shared" si="121"/>
        <v>1785.7</v>
      </c>
      <c r="BW163" s="160">
        <f t="shared" si="122"/>
        <v>1785.7</v>
      </c>
      <c r="BX163" s="149"/>
      <c r="BY163" s="32">
        <f t="shared" si="123"/>
        <v>0</v>
      </c>
      <c r="BZ163" s="22" t="s">
        <v>159</v>
      </c>
      <c r="CA163" s="231">
        <f>VLOOKUP(I163,'Job Codes'!$B$2:$J$120,9,FALSE)</f>
        <v>0</v>
      </c>
      <c r="CB163" s="253">
        <f t="shared" si="124"/>
        <v>0</v>
      </c>
      <c r="CC163" s="72"/>
      <c r="CD163" s="25" t="str">
        <f t="shared" si="125"/>
        <v>Below</v>
      </c>
      <c r="CE163" s="27"/>
      <c r="CF163" s="27"/>
      <c r="CG163" s="27"/>
      <c r="CH163" s="27"/>
      <c r="CI163" s="27"/>
      <c r="CJ163" s="3">
        <v>29271</v>
      </c>
      <c r="CK163" s="3" t="s">
        <v>255</v>
      </c>
      <c r="CL163" s="3">
        <v>4569</v>
      </c>
      <c r="CM163" s="3" t="s">
        <v>161</v>
      </c>
      <c r="CN163" s="3">
        <v>4571</v>
      </c>
      <c r="CO163" s="3" t="s">
        <v>162</v>
      </c>
      <c r="CP163" s="3">
        <v>12345</v>
      </c>
      <c r="CQ163" s="3" t="s">
        <v>163</v>
      </c>
      <c r="CR163" s="246" t="s">
        <v>164</v>
      </c>
      <c r="CS163" s="5" t="s">
        <v>165</v>
      </c>
      <c r="CT163" s="246" t="s">
        <v>256</v>
      </c>
      <c r="CU163" s="247" t="s">
        <v>257</v>
      </c>
      <c r="CV163" s="3" t="str">
        <f t="shared" si="126"/>
        <v>67890;86672</v>
      </c>
      <c r="CW163" s="3" t="s">
        <v>168</v>
      </c>
      <c r="CX163" s="3" t="str">
        <f t="shared" si="127"/>
        <v>AB163;;BB163:BD163;;CC163</v>
      </c>
      <c r="CY163" s="5" t="str">
        <f t="shared" si="128"/>
        <v>Unlock</v>
      </c>
      <c r="CZ163" s="5" t="str">
        <f t="shared" si="129"/>
        <v>Lock</v>
      </c>
      <c r="DA163" s="5" t="str">
        <f t="shared" si="130"/>
        <v>Lock</v>
      </c>
      <c r="DB163" s="5" t="str">
        <f t="shared" si="131"/>
        <v>Lock</v>
      </c>
      <c r="DC163" s="5" t="str">
        <f t="shared" si="132"/>
        <v>Lock</v>
      </c>
      <c r="DD163" s="78">
        <f t="shared" si="133"/>
        <v>2</v>
      </c>
      <c r="DE163" s="2"/>
      <c r="DF163" s="2"/>
      <c r="DG163" s="2"/>
      <c r="DH163" s="2"/>
      <c r="DI163" s="2"/>
      <c r="DJ163" s="2"/>
      <c r="DK163" s="5"/>
      <c r="DL163" s="2"/>
      <c r="DM163" s="2"/>
      <c r="DN163" s="2"/>
      <c r="DO163" s="2"/>
      <c r="DP163" s="2"/>
      <c r="DQ163" s="2"/>
      <c r="DR163" s="2"/>
      <c r="DS163" s="2"/>
      <c r="DT163" s="2"/>
      <c r="DU163" s="2"/>
      <c r="DV163" s="2"/>
      <c r="DW163" s="2"/>
      <c r="DX163" s="2"/>
      <c r="DY163" s="2"/>
      <c r="DZ163" s="2"/>
      <c r="EA163" s="2"/>
      <c r="EB163" s="2"/>
      <c r="EC163" s="2"/>
      <c r="ED163" s="2"/>
      <c r="EE163" s="2"/>
      <c r="EF163" s="1"/>
      <c r="EG163" s="98"/>
      <c r="EH163" s="98"/>
      <c r="EI163" s="1"/>
      <c r="EJ163" s="1"/>
      <c r="EK163" s="98"/>
      <c r="EL163" s="1"/>
    </row>
    <row r="164" spans="1:142">
      <c r="A164" s="32">
        <f t="shared" si="92"/>
        <v>10316</v>
      </c>
      <c r="B164" s="3" t="str">
        <f t="shared" si="93"/>
        <v>sv_statement//Statement//Export Statement&amp;PDFID=Mike Valdes_10316&amp;SO=Y</v>
      </c>
      <c r="C164" s="5" t="str">
        <f t="shared" si="134"/>
        <v>Statement</v>
      </c>
      <c r="D164" s="5" t="str">
        <f t="shared" si="94"/>
        <v>Mike Valdes_10316</v>
      </c>
      <c r="E164" s="5"/>
      <c r="F164" s="5">
        <v>10316</v>
      </c>
      <c r="G164" s="22" t="s">
        <v>464</v>
      </c>
      <c r="H164" s="5" t="s">
        <v>214</v>
      </c>
      <c r="I164" s="5" t="s">
        <v>217</v>
      </c>
      <c r="J164" s="5" t="s">
        <v>208</v>
      </c>
      <c r="K164" s="5" t="s">
        <v>209</v>
      </c>
      <c r="L164" s="31">
        <f t="shared" si="95"/>
        <v>20714</v>
      </c>
      <c r="M164" s="5" t="s">
        <v>198</v>
      </c>
      <c r="N164" s="22" t="s">
        <v>155</v>
      </c>
      <c r="O164" s="100">
        <v>38406</v>
      </c>
      <c r="P164" s="146">
        <f>VLOOKUP(I164,'Job Codes'!$B$2:$I$120,4,FALSE)</f>
        <v>33000</v>
      </c>
      <c r="Q164" s="146">
        <f>VLOOKUP(I164,'Job Codes'!$B$2:$I$120,5,FALSE)</f>
        <v>42900</v>
      </c>
      <c r="R164" s="146">
        <f>VLOOKUP(I164,'Job Codes'!$B$2:$I$120,6,FALSE)</f>
        <v>51480</v>
      </c>
      <c r="S164" s="22" t="s">
        <v>171</v>
      </c>
      <c r="T164" s="146">
        <v>28662</v>
      </c>
      <c r="U164" s="8">
        <f>VLOOKUP(S164,Data!$H$22:$I$25,2,FALSE)*T164</f>
        <v>28662</v>
      </c>
      <c r="V164" s="180">
        <f t="shared" si="96"/>
        <v>0.66811188811188815</v>
      </c>
      <c r="W164" s="180">
        <f t="shared" si="97"/>
        <v>0.49675528574419092</v>
      </c>
      <c r="X164" s="22" t="str">
        <f t="shared" si="98"/>
        <v>Yes</v>
      </c>
      <c r="Y164" s="180">
        <f t="shared" si="99"/>
        <v>0.02</v>
      </c>
      <c r="Z164" s="146">
        <f t="shared" si="100"/>
        <v>573.24</v>
      </c>
      <c r="AA164" s="146">
        <f t="shared" si="101"/>
        <v>573.24</v>
      </c>
      <c r="AB164" s="72"/>
      <c r="AC164" s="146">
        <f>AB164/VLOOKUP(S164,Data!$H$22:$I$25,2,FALSE)</f>
        <v>0</v>
      </c>
      <c r="AD164" s="22" t="s">
        <v>157</v>
      </c>
      <c r="AE164" s="146">
        <f>VLOOKUP(S164,Data!$H$22:$J$25,3,FALSE)*T164</f>
        <v>859.86</v>
      </c>
      <c r="AF164" s="8">
        <f>VLOOKUP(S164,Data!$H$22:$I$25,2,FALSE)*AE164</f>
        <v>859.86</v>
      </c>
      <c r="AG164" s="8" t="s">
        <v>178</v>
      </c>
      <c r="AH164" s="23">
        <v>0.02</v>
      </c>
      <c r="AI164" s="72"/>
      <c r="AJ164" s="159">
        <f t="shared" si="102"/>
        <v>0.02</v>
      </c>
      <c r="AK164" s="168">
        <f t="shared" si="135"/>
        <v>573.24</v>
      </c>
      <c r="AL164" s="160">
        <f t="shared" si="136"/>
        <v>573.24</v>
      </c>
      <c r="AM164" s="168">
        <f t="shared" si="103"/>
        <v>29235.24</v>
      </c>
      <c r="AN164" s="160">
        <f t="shared" si="104"/>
        <v>29235.24</v>
      </c>
      <c r="AO164" s="160" t="str">
        <f t="shared" si="137"/>
        <v>No</v>
      </c>
      <c r="AP164" s="146">
        <f>IF(AQ164=0,0,AQ164/VLOOKUP(S164,Data!$H$22:$I$25,2,FALSE))</f>
        <v>0</v>
      </c>
      <c r="AQ164" s="183">
        <f t="shared" si="105"/>
        <v>0</v>
      </c>
      <c r="AR164" s="165">
        <f t="shared" si="106"/>
        <v>573.24</v>
      </c>
      <c r="AS164" s="183">
        <f t="shared" si="107"/>
        <v>573.24</v>
      </c>
      <c r="AT164" s="250">
        <f t="shared" si="108"/>
        <v>0.02</v>
      </c>
      <c r="AU164" s="146">
        <f t="shared" si="109"/>
        <v>29235.24</v>
      </c>
      <c r="AV164" s="8">
        <f t="shared" si="110"/>
        <v>29235.24</v>
      </c>
      <c r="AW164" s="8" t="str">
        <f t="shared" si="111"/>
        <v/>
      </c>
      <c r="AX164" s="180">
        <f t="shared" si="112"/>
        <v>0.68147412587412592</v>
      </c>
      <c r="AY164" s="146">
        <f t="shared" si="113"/>
        <v>0</v>
      </c>
      <c r="AZ164" s="146">
        <f t="shared" si="114"/>
        <v>0</v>
      </c>
      <c r="BA164" s="22" t="s">
        <v>159</v>
      </c>
      <c r="BB164" s="149"/>
      <c r="BC164" s="149"/>
      <c r="BD164" s="144"/>
      <c r="BE164" s="146" t="str">
        <f t="shared" si="115"/>
        <v/>
      </c>
      <c r="BF164" s="8" t="str">
        <f t="shared" si="116"/>
        <v/>
      </c>
      <c r="BG164" s="8" t="str">
        <f>IF(LEN(BC164)&gt;0,VLOOKUP(BC164,'Job Codes'!B157:I275,7,FALSE),"")</f>
        <v/>
      </c>
      <c r="BH164" s="192" t="str">
        <f>IF(LEN(BC164)&gt;0,VLOOKUP(BC164,'Job Codes'!B157:I275,8,FALSE),"")</f>
        <v/>
      </c>
      <c r="BI164" s="192" t="str">
        <f>IF(LEN(BC164)&gt;0,VLOOKUP(BC164,'Job Codes'!$B$2:$J$120,9,FALSE),"")</f>
        <v/>
      </c>
      <c r="BJ164" s="146" t="str">
        <f>IF(LEN(BC164)&gt;0,VLOOKUP(BC164,'Job Codes'!$B$2:$I$120,4,FALSE),"")</f>
        <v/>
      </c>
      <c r="BK164" s="146" t="str">
        <f>IF(LEN(BC164)&gt;0,VLOOKUP(BC164,'Job Codes'!$B$2:$I$120,5,FALSE),"")</f>
        <v/>
      </c>
      <c r="BL164" s="146" t="str">
        <f>IF(LEN(BC164)&gt;0,VLOOKUP(BC164,'Job Codes'!$B$2:$I$120,6,FALSE),"")</f>
        <v/>
      </c>
      <c r="BM164" s="168">
        <f t="shared" si="117"/>
        <v>29235.24</v>
      </c>
      <c r="BN164" s="160">
        <f t="shared" si="118"/>
        <v>29235.24</v>
      </c>
      <c r="BO164" s="22" t="s">
        <v>157</v>
      </c>
      <c r="BP164" s="157">
        <f>VLOOKUP(I164,'Job Codes'!$B$2:$I$120,8,FALSE)</f>
        <v>0.1</v>
      </c>
      <c r="BQ164" s="25" t="str">
        <f>IF(O164&gt;Data!$H$33,"Yes","No")</f>
        <v>No</v>
      </c>
      <c r="BR164" s="191">
        <v>0.1</v>
      </c>
      <c r="BS164" s="150">
        <f t="shared" si="119"/>
        <v>2866.2000000000003</v>
      </c>
      <c r="BT164" s="25">
        <f t="shared" si="120"/>
        <v>2866.2000000000003</v>
      </c>
      <c r="BU164" s="161">
        <v>1</v>
      </c>
      <c r="BV164" s="168">
        <f t="shared" si="121"/>
        <v>2866.2000000000003</v>
      </c>
      <c r="BW164" s="160">
        <f t="shared" si="122"/>
        <v>2866.2000000000003</v>
      </c>
      <c r="BX164" s="149"/>
      <c r="BY164" s="32">
        <f t="shared" si="123"/>
        <v>0</v>
      </c>
      <c r="BZ164" s="22" t="s">
        <v>157</v>
      </c>
      <c r="CA164" s="231">
        <f>VLOOKUP(I164,'Job Codes'!$B$2:$J$120,9,FALSE)</f>
        <v>0.1</v>
      </c>
      <c r="CB164" s="253">
        <f t="shared" si="124"/>
        <v>2866.2000000000003</v>
      </c>
      <c r="CC164" s="72"/>
      <c r="CD164" s="25" t="str">
        <f t="shared" si="125"/>
        <v>Meets</v>
      </c>
      <c r="CE164" s="27"/>
      <c r="CF164" s="27"/>
      <c r="CG164" s="27"/>
      <c r="CH164" s="27"/>
      <c r="CI164" s="27"/>
      <c r="CJ164" s="3"/>
      <c r="CK164" s="3"/>
      <c r="CL164" s="3">
        <v>4569</v>
      </c>
      <c r="CM164" s="3" t="s">
        <v>161</v>
      </c>
      <c r="CN164" s="3">
        <v>4571</v>
      </c>
      <c r="CO164" s="3" t="s">
        <v>162</v>
      </c>
      <c r="CP164" s="3">
        <v>12345</v>
      </c>
      <c r="CQ164" s="3" t="s">
        <v>163</v>
      </c>
      <c r="CR164" s="246" t="s">
        <v>179</v>
      </c>
      <c r="CS164" s="247" t="s">
        <v>180</v>
      </c>
      <c r="CT164" s="246" t="s">
        <v>199</v>
      </c>
      <c r="CU164" s="247" t="s">
        <v>200</v>
      </c>
      <c r="CV164" s="3" t="str">
        <f t="shared" si="126"/>
        <v>90876;36523</v>
      </c>
      <c r="CW164" s="3" t="s">
        <v>168</v>
      </c>
      <c r="CX164" s="3" t="str">
        <f t="shared" si="127"/>
        <v>;;BB164:BD164;;</v>
      </c>
      <c r="CY164" s="5" t="str">
        <f t="shared" si="128"/>
        <v>Unlock</v>
      </c>
      <c r="CZ164" s="5" t="str">
        <f t="shared" si="129"/>
        <v>Lock</v>
      </c>
      <c r="DA164" s="5" t="str">
        <f t="shared" si="130"/>
        <v>Lock</v>
      </c>
      <c r="DB164" s="5" t="str">
        <f t="shared" si="131"/>
        <v>Lock</v>
      </c>
      <c r="DC164" s="5" t="str">
        <f t="shared" si="132"/>
        <v>Lock</v>
      </c>
      <c r="DD164" s="78">
        <f t="shared" si="133"/>
        <v>3</v>
      </c>
      <c r="DE164" s="2"/>
      <c r="DF164" s="2"/>
      <c r="DG164" s="2"/>
      <c r="DH164" s="2"/>
      <c r="DI164" s="2"/>
      <c r="DJ164" s="2"/>
      <c r="DK164" s="5"/>
      <c r="DL164" s="2"/>
      <c r="DM164" s="2"/>
      <c r="DN164" s="2"/>
      <c r="DO164" s="2"/>
      <c r="DP164" s="2"/>
      <c r="DQ164" s="2"/>
      <c r="DR164" s="2"/>
      <c r="DS164" s="2"/>
      <c r="DT164" s="2"/>
      <c r="DU164" s="2"/>
      <c r="DV164" s="2"/>
      <c r="DW164" s="2"/>
      <c r="DX164" s="2"/>
      <c r="DY164" s="2"/>
      <c r="DZ164" s="2"/>
      <c r="EA164" s="2"/>
      <c r="EB164" s="2"/>
      <c r="EC164" s="2"/>
      <c r="ED164" s="2"/>
      <c r="EE164" s="2"/>
      <c r="EF164" s="1"/>
      <c r="EG164" s="98"/>
      <c r="EH164" s="98"/>
      <c r="EI164" s="1"/>
      <c r="EJ164" s="1"/>
      <c r="EK164" s="98"/>
      <c r="EL164" s="1"/>
    </row>
    <row r="165" spans="1:142">
      <c r="A165" s="32">
        <f t="shared" si="92"/>
        <v>10317</v>
      </c>
      <c r="B165" s="3" t="str">
        <f t="shared" si="93"/>
        <v>sv_statement//Statement//Export Statement&amp;PDFID=Katie Overstreet_10317&amp;SO=Y</v>
      </c>
      <c r="C165" s="5" t="str">
        <f t="shared" si="134"/>
        <v>Statement</v>
      </c>
      <c r="D165" s="5" t="str">
        <f t="shared" si="94"/>
        <v>Katie Overstreet_10317</v>
      </c>
      <c r="E165" s="5"/>
      <c r="F165" s="5">
        <v>10317</v>
      </c>
      <c r="G165" s="22" t="s">
        <v>465</v>
      </c>
      <c r="H165" s="5" t="s">
        <v>214</v>
      </c>
      <c r="I165" s="5" t="s">
        <v>283</v>
      </c>
      <c r="J165" s="5" t="s">
        <v>208</v>
      </c>
      <c r="K165" s="5" t="s">
        <v>209</v>
      </c>
      <c r="L165" s="31">
        <f t="shared" si="95"/>
        <v>20714</v>
      </c>
      <c r="M165" s="5" t="s">
        <v>198</v>
      </c>
      <c r="N165" s="22" t="s">
        <v>155</v>
      </c>
      <c r="O165" s="100">
        <v>38401</v>
      </c>
      <c r="P165" s="146">
        <f>VLOOKUP(I165,'Job Codes'!$B$2:$I$120,4,FALSE)</f>
        <v>27000</v>
      </c>
      <c r="Q165" s="146">
        <f>VLOOKUP(I165,'Job Codes'!$B$2:$I$120,5,FALSE)</f>
        <v>35100</v>
      </c>
      <c r="R165" s="146">
        <f>VLOOKUP(I165,'Job Codes'!$B$2:$I$120,6,FALSE)</f>
        <v>42120</v>
      </c>
      <c r="S165" s="22" t="s">
        <v>171</v>
      </c>
      <c r="T165" s="146">
        <v>41933</v>
      </c>
      <c r="U165" s="8">
        <f>VLOOKUP(S165,Data!$H$22:$I$25,2,FALSE)*T165</f>
        <v>41933</v>
      </c>
      <c r="V165" s="180">
        <f t="shared" si="96"/>
        <v>1.1946723646723647</v>
      </c>
      <c r="W165" s="180">
        <f t="shared" si="97"/>
        <v>0</v>
      </c>
      <c r="X165" s="22" t="str">
        <f t="shared" si="98"/>
        <v>No</v>
      </c>
      <c r="Y165" s="180">
        <f t="shared" si="99"/>
        <v>0</v>
      </c>
      <c r="Z165" s="146">
        <f t="shared" si="100"/>
        <v>0</v>
      </c>
      <c r="AA165" s="146">
        <f t="shared" si="101"/>
        <v>0</v>
      </c>
      <c r="AB165" s="72"/>
      <c r="AC165" s="146">
        <f>AB165/VLOOKUP(S165,Data!$H$22:$I$25,2,FALSE)</f>
        <v>0</v>
      </c>
      <c r="AD165" s="22" t="s">
        <v>157</v>
      </c>
      <c r="AE165" s="146">
        <f>VLOOKUP(S165,Data!$H$22:$J$25,3,FALSE)*T165</f>
        <v>1257.99</v>
      </c>
      <c r="AF165" s="8">
        <f>VLOOKUP(S165,Data!$H$22:$I$25,2,FALSE)*AE165</f>
        <v>1257.99</v>
      </c>
      <c r="AG165" s="8" t="s">
        <v>172</v>
      </c>
      <c r="AH165" s="23">
        <v>0</v>
      </c>
      <c r="AI165" s="72"/>
      <c r="AJ165" s="159">
        <f t="shared" si="102"/>
        <v>0</v>
      </c>
      <c r="AK165" s="168">
        <f t="shared" si="135"/>
        <v>0</v>
      </c>
      <c r="AL165" s="160">
        <f t="shared" si="136"/>
        <v>0</v>
      </c>
      <c r="AM165" s="168">
        <f t="shared" si="103"/>
        <v>41933</v>
      </c>
      <c r="AN165" s="160">
        <f t="shared" si="104"/>
        <v>41933</v>
      </c>
      <c r="AO165" s="160" t="str">
        <f t="shared" si="137"/>
        <v>No</v>
      </c>
      <c r="AP165" s="146">
        <f>IF(AQ165=0,0,AQ165/VLOOKUP(S165,Data!$H$22:$I$25,2,FALSE))</f>
        <v>0</v>
      </c>
      <c r="AQ165" s="183">
        <f t="shared" si="105"/>
        <v>0</v>
      </c>
      <c r="AR165" s="165">
        <f t="shared" si="106"/>
        <v>0</v>
      </c>
      <c r="AS165" s="183">
        <f t="shared" si="107"/>
        <v>0</v>
      </c>
      <c r="AT165" s="250">
        <f t="shared" si="108"/>
        <v>0</v>
      </c>
      <c r="AU165" s="146">
        <f t="shared" si="109"/>
        <v>41933</v>
      </c>
      <c r="AV165" s="8">
        <f t="shared" si="110"/>
        <v>41933</v>
      </c>
      <c r="AW165" s="8" t="str">
        <f t="shared" si="111"/>
        <v/>
      </c>
      <c r="AX165" s="180">
        <f t="shared" si="112"/>
        <v>1.1946723646723647</v>
      </c>
      <c r="AY165" s="146">
        <f t="shared" si="113"/>
        <v>0</v>
      </c>
      <c r="AZ165" s="146">
        <f t="shared" si="114"/>
        <v>0</v>
      </c>
      <c r="BA165" s="22" t="s">
        <v>159</v>
      </c>
      <c r="BB165" s="149"/>
      <c r="BC165" s="149"/>
      <c r="BD165" s="144"/>
      <c r="BE165" s="146" t="str">
        <f t="shared" si="115"/>
        <v/>
      </c>
      <c r="BF165" s="8" t="str">
        <f t="shared" si="116"/>
        <v/>
      </c>
      <c r="BG165" s="8" t="str">
        <f>IF(LEN(BC165)&gt;0,VLOOKUP(BC165,'Job Codes'!B158:I276,7,FALSE),"")</f>
        <v/>
      </c>
      <c r="BH165" s="192" t="str">
        <f>IF(LEN(BC165)&gt;0,VLOOKUP(BC165,'Job Codes'!B158:I276,8,FALSE),"")</f>
        <v/>
      </c>
      <c r="BI165" s="192" t="str">
        <f>IF(LEN(BC165)&gt;0,VLOOKUP(BC165,'Job Codes'!$B$2:$J$120,9,FALSE),"")</f>
        <v/>
      </c>
      <c r="BJ165" s="146" t="str">
        <f>IF(LEN(BC165)&gt;0,VLOOKUP(BC165,'Job Codes'!$B$2:$I$120,4,FALSE),"")</f>
        <v/>
      </c>
      <c r="BK165" s="146" t="str">
        <f>IF(LEN(BC165)&gt;0,VLOOKUP(BC165,'Job Codes'!$B$2:$I$120,5,FALSE),"")</f>
        <v/>
      </c>
      <c r="BL165" s="146" t="str">
        <f>IF(LEN(BC165)&gt;0,VLOOKUP(BC165,'Job Codes'!$B$2:$I$120,6,FALSE),"")</f>
        <v/>
      </c>
      <c r="BM165" s="168">
        <f t="shared" si="117"/>
        <v>41933</v>
      </c>
      <c r="BN165" s="160">
        <f t="shared" si="118"/>
        <v>41933</v>
      </c>
      <c r="BO165" s="22" t="s">
        <v>157</v>
      </c>
      <c r="BP165" s="157">
        <f>VLOOKUP(I165,'Job Codes'!$B$2:$I$120,8,FALSE)</f>
        <v>0.05</v>
      </c>
      <c r="BQ165" s="25" t="str">
        <f>IF(O165&gt;Data!$H$33,"Yes","No")</f>
        <v>No</v>
      </c>
      <c r="BR165" s="191">
        <v>0.05</v>
      </c>
      <c r="BS165" s="150">
        <f t="shared" si="119"/>
        <v>2096.65</v>
      </c>
      <c r="BT165" s="25">
        <f t="shared" si="120"/>
        <v>2096.65</v>
      </c>
      <c r="BU165" s="161">
        <v>1</v>
      </c>
      <c r="BV165" s="168">
        <f t="shared" si="121"/>
        <v>2096.65</v>
      </c>
      <c r="BW165" s="160">
        <f t="shared" si="122"/>
        <v>2096.65</v>
      </c>
      <c r="BX165" s="149"/>
      <c r="BY165" s="32">
        <f t="shared" si="123"/>
        <v>0</v>
      </c>
      <c r="BZ165" s="22" t="s">
        <v>159</v>
      </c>
      <c r="CA165" s="231">
        <f>VLOOKUP(I165,'Job Codes'!$B$2:$J$120,9,FALSE)</f>
        <v>0</v>
      </c>
      <c r="CB165" s="253">
        <f t="shared" si="124"/>
        <v>0</v>
      </c>
      <c r="CC165" s="72"/>
      <c r="CD165" s="25" t="str">
        <f t="shared" si="125"/>
        <v>Below</v>
      </c>
      <c r="CE165" s="27"/>
      <c r="CF165" s="27"/>
      <c r="CG165" s="27"/>
      <c r="CH165" s="27"/>
      <c r="CI165" s="27"/>
      <c r="CJ165" s="3"/>
      <c r="CK165" s="3"/>
      <c r="CL165" s="3">
        <v>4569</v>
      </c>
      <c r="CM165" s="3" t="s">
        <v>161</v>
      </c>
      <c r="CN165" s="3">
        <v>4571</v>
      </c>
      <c r="CO165" s="3" t="s">
        <v>162</v>
      </c>
      <c r="CP165" s="3">
        <v>12345</v>
      </c>
      <c r="CQ165" s="3" t="s">
        <v>163</v>
      </c>
      <c r="CR165" s="246" t="s">
        <v>179</v>
      </c>
      <c r="CS165" s="247" t="s">
        <v>180</v>
      </c>
      <c r="CT165" s="246" t="s">
        <v>199</v>
      </c>
      <c r="CU165" s="247" t="s">
        <v>200</v>
      </c>
      <c r="CV165" s="3" t="str">
        <f t="shared" si="126"/>
        <v>90876;36523</v>
      </c>
      <c r="CW165" s="3" t="s">
        <v>168</v>
      </c>
      <c r="CX165" s="3" t="str">
        <f t="shared" si="127"/>
        <v>AB165;;BB165:BD165;;CC165</v>
      </c>
      <c r="CY165" s="5" t="str">
        <f t="shared" si="128"/>
        <v>Unlock</v>
      </c>
      <c r="CZ165" s="5" t="str">
        <f t="shared" si="129"/>
        <v>Lock</v>
      </c>
      <c r="DA165" s="5" t="str">
        <f t="shared" si="130"/>
        <v>Lock</v>
      </c>
      <c r="DB165" s="5" t="str">
        <f t="shared" si="131"/>
        <v>Lock</v>
      </c>
      <c r="DC165" s="5" t="str">
        <f t="shared" si="132"/>
        <v>Lock</v>
      </c>
      <c r="DD165" s="78">
        <f t="shared" si="133"/>
        <v>3</v>
      </c>
      <c r="DE165" s="2"/>
      <c r="DF165" s="2"/>
      <c r="DG165" s="2"/>
      <c r="DH165" s="2"/>
      <c r="DI165" s="2"/>
      <c r="DJ165" s="2"/>
      <c r="DK165" s="5"/>
      <c r="DL165" s="2"/>
      <c r="DM165" s="2"/>
      <c r="DN165" s="2"/>
      <c r="DO165" s="2"/>
      <c r="DP165" s="2"/>
      <c r="DQ165" s="2"/>
      <c r="DR165" s="2"/>
      <c r="DS165" s="2"/>
      <c r="DT165" s="2"/>
      <c r="DU165" s="2"/>
      <c r="DV165" s="2"/>
      <c r="DW165" s="2"/>
      <c r="DX165" s="2"/>
      <c r="DY165" s="2"/>
      <c r="DZ165" s="2"/>
      <c r="EA165" s="2"/>
      <c r="EB165" s="2"/>
      <c r="EC165" s="2"/>
      <c r="ED165" s="2"/>
      <c r="EE165" s="2"/>
      <c r="EF165" s="1"/>
      <c r="EG165" s="98"/>
      <c r="EH165" s="98"/>
      <c r="EI165" s="1"/>
      <c r="EJ165" s="1"/>
      <c r="EK165" s="98"/>
      <c r="EL165" s="1"/>
    </row>
    <row r="166" spans="1:142">
      <c r="A166" s="32">
        <f t="shared" si="92"/>
        <v>10339</v>
      </c>
      <c r="B166" s="3" t="str">
        <f t="shared" si="93"/>
        <v>sv_statement//Statement//Export Statement&amp;PDFID=Lawrence Judkins_10339&amp;SO=Y</v>
      </c>
      <c r="C166" s="5" t="str">
        <f t="shared" si="134"/>
        <v>Statement</v>
      </c>
      <c r="D166" s="5" t="str">
        <f t="shared" si="94"/>
        <v>Lawrence Judkins_10339</v>
      </c>
      <c r="E166" s="5"/>
      <c r="F166" s="5">
        <v>10339</v>
      </c>
      <c r="G166" s="22" t="s">
        <v>466</v>
      </c>
      <c r="H166" s="5" t="s">
        <v>214</v>
      </c>
      <c r="I166" s="5" t="s">
        <v>219</v>
      </c>
      <c r="J166" s="5" t="s">
        <v>208</v>
      </c>
      <c r="K166" s="5" t="s">
        <v>209</v>
      </c>
      <c r="L166" s="31">
        <f t="shared" si="95"/>
        <v>20714</v>
      </c>
      <c r="M166" s="5" t="s">
        <v>198</v>
      </c>
      <c r="N166" s="22" t="s">
        <v>155</v>
      </c>
      <c r="O166" s="100">
        <v>38404</v>
      </c>
      <c r="P166" s="146">
        <f>VLOOKUP(I166,'Job Codes'!$B$2:$I$120,4,FALSE)</f>
        <v>29000</v>
      </c>
      <c r="Q166" s="146">
        <f>VLOOKUP(I166,'Job Codes'!$B$2:$I$120,5,FALSE)</f>
        <v>37700</v>
      </c>
      <c r="R166" s="146">
        <f>VLOOKUP(I166,'Job Codes'!$B$2:$I$120,6,FALSE)</f>
        <v>45240</v>
      </c>
      <c r="S166" s="22" t="s">
        <v>171</v>
      </c>
      <c r="T166" s="146">
        <v>23483</v>
      </c>
      <c r="U166" s="8">
        <f>VLOOKUP(S166,Data!$H$22:$I$25,2,FALSE)*T166</f>
        <v>23483</v>
      </c>
      <c r="V166" s="180">
        <f t="shared" si="96"/>
        <v>0.62289124668435014</v>
      </c>
      <c r="W166" s="180">
        <f t="shared" si="97"/>
        <v>0.60541668440999874</v>
      </c>
      <c r="X166" s="22" t="str">
        <f t="shared" si="98"/>
        <v>Yes</v>
      </c>
      <c r="Y166" s="180">
        <f t="shared" si="99"/>
        <v>0.02</v>
      </c>
      <c r="Z166" s="146">
        <f t="shared" si="100"/>
        <v>469.66</v>
      </c>
      <c r="AA166" s="146">
        <f t="shared" si="101"/>
        <v>469.66</v>
      </c>
      <c r="AB166" s="72"/>
      <c r="AC166" s="146">
        <f>AB166/VLOOKUP(S166,Data!$H$22:$I$25,2,FALSE)</f>
        <v>0</v>
      </c>
      <c r="AD166" s="22" t="s">
        <v>157</v>
      </c>
      <c r="AE166" s="146">
        <f>VLOOKUP(S166,Data!$H$22:$J$25,3,FALSE)*T166</f>
        <v>704.49</v>
      </c>
      <c r="AF166" s="8">
        <f>VLOOKUP(S166,Data!$H$22:$I$25,2,FALSE)*AE166</f>
        <v>704.49</v>
      </c>
      <c r="AG166" s="8" t="s">
        <v>178</v>
      </c>
      <c r="AH166" s="23">
        <v>2.1000000000000001E-2</v>
      </c>
      <c r="AI166" s="72"/>
      <c r="AJ166" s="159">
        <f t="shared" si="102"/>
        <v>2.1000000000000001E-2</v>
      </c>
      <c r="AK166" s="168">
        <f t="shared" si="135"/>
        <v>493.14300000000003</v>
      </c>
      <c r="AL166" s="160">
        <f t="shared" si="136"/>
        <v>493.14300000000003</v>
      </c>
      <c r="AM166" s="168">
        <f t="shared" si="103"/>
        <v>23976.143</v>
      </c>
      <c r="AN166" s="160">
        <f t="shared" si="104"/>
        <v>23976.143</v>
      </c>
      <c r="AO166" s="160" t="str">
        <f t="shared" si="137"/>
        <v>No</v>
      </c>
      <c r="AP166" s="146">
        <f>IF(AQ166=0,0,AQ166/VLOOKUP(S166,Data!$H$22:$I$25,2,FALSE))</f>
        <v>0</v>
      </c>
      <c r="AQ166" s="183">
        <f t="shared" si="105"/>
        <v>0</v>
      </c>
      <c r="AR166" s="165">
        <f t="shared" si="106"/>
        <v>493.14300000000003</v>
      </c>
      <c r="AS166" s="183">
        <f t="shared" si="107"/>
        <v>493.14300000000003</v>
      </c>
      <c r="AT166" s="250">
        <f t="shared" si="108"/>
        <v>2.1000000000000001E-2</v>
      </c>
      <c r="AU166" s="146">
        <f t="shared" si="109"/>
        <v>23976.143</v>
      </c>
      <c r="AV166" s="8">
        <f t="shared" si="110"/>
        <v>23976.143</v>
      </c>
      <c r="AW166" s="8" t="str">
        <f t="shared" si="111"/>
        <v/>
      </c>
      <c r="AX166" s="180">
        <f t="shared" si="112"/>
        <v>0.63597196286472146</v>
      </c>
      <c r="AY166" s="146">
        <f t="shared" si="113"/>
        <v>0</v>
      </c>
      <c r="AZ166" s="146">
        <f t="shared" si="114"/>
        <v>0</v>
      </c>
      <c r="BA166" s="22" t="s">
        <v>159</v>
      </c>
      <c r="BB166" s="149"/>
      <c r="BC166" s="149"/>
      <c r="BD166" s="144"/>
      <c r="BE166" s="146" t="str">
        <f t="shared" si="115"/>
        <v/>
      </c>
      <c r="BF166" s="8" t="str">
        <f t="shared" si="116"/>
        <v/>
      </c>
      <c r="BG166" s="8" t="str">
        <f>IF(LEN(BC166)&gt;0,VLOOKUP(BC166,'Job Codes'!B159:I277,7,FALSE),"")</f>
        <v/>
      </c>
      <c r="BH166" s="192" t="str">
        <f>IF(LEN(BC166)&gt;0,VLOOKUP(BC166,'Job Codes'!B159:I277,8,FALSE),"")</f>
        <v/>
      </c>
      <c r="BI166" s="192" t="str">
        <f>IF(LEN(BC166)&gt;0,VLOOKUP(BC166,'Job Codes'!$B$2:$J$120,9,FALSE),"")</f>
        <v/>
      </c>
      <c r="BJ166" s="146" t="str">
        <f>IF(LEN(BC166)&gt;0,VLOOKUP(BC166,'Job Codes'!$B$2:$I$120,4,FALSE),"")</f>
        <v/>
      </c>
      <c r="BK166" s="146" t="str">
        <f>IF(LEN(BC166)&gt;0,VLOOKUP(BC166,'Job Codes'!$B$2:$I$120,5,FALSE),"")</f>
        <v/>
      </c>
      <c r="BL166" s="146" t="str">
        <f>IF(LEN(BC166)&gt;0,VLOOKUP(BC166,'Job Codes'!$B$2:$I$120,6,FALSE),"")</f>
        <v/>
      </c>
      <c r="BM166" s="168">
        <f t="shared" si="117"/>
        <v>23976.143</v>
      </c>
      <c r="BN166" s="160">
        <f t="shared" si="118"/>
        <v>23976.143</v>
      </c>
      <c r="BO166" s="22" t="s">
        <v>157</v>
      </c>
      <c r="BP166" s="157">
        <f>VLOOKUP(I166,'Job Codes'!$B$2:$I$120,8,FALSE)</f>
        <v>0.1</v>
      </c>
      <c r="BQ166" s="25" t="str">
        <f>IF(O166&gt;Data!$H$33,"Yes","No")</f>
        <v>No</v>
      </c>
      <c r="BR166" s="191">
        <v>0.1</v>
      </c>
      <c r="BS166" s="150">
        <f t="shared" si="119"/>
        <v>2348.3000000000002</v>
      </c>
      <c r="BT166" s="25">
        <f t="shared" si="120"/>
        <v>2348.3000000000002</v>
      </c>
      <c r="BU166" s="161">
        <v>1</v>
      </c>
      <c r="BV166" s="168">
        <f t="shared" si="121"/>
        <v>2348.3000000000002</v>
      </c>
      <c r="BW166" s="160">
        <f t="shared" si="122"/>
        <v>2348.3000000000002</v>
      </c>
      <c r="BX166" s="149"/>
      <c r="BY166" s="32">
        <f t="shared" si="123"/>
        <v>0</v>
      </c>
      <c r="BZ166" s="22" t="s">
        <v>157</v>
      </c>
      <c r="CA166" s="231">
        <f>VLOOKUP(I166,'Job Codes'!$B$2:$J$120,9,FALSE)</f>
        <v>0.05</v>
      </c>
      <c r="CB166" s="253">
        <f t="shared" si="124"/>
        <v>1174.1500000000001</v>
      </c>
      <c r="CC166" s="72"/>
      <c r="CD166" s="25" t="str">
        <f t="shared" si="125"/>
        <v>Meets</v>
      </c>
      <c r="CE166" s="27"/>
      <c r="CF166" s="27"/>
      <c r="CG166" s="27"/>
      <c r="CH166" s="27"/>
      <c r="CI166" s="27"/>
      <c r="CJ166" s="3"/>
      <c r="CK166" s="3"/>
      <c r="CL166" s="3">
        <v>4569</v>
      </c>
      <c r="CM166" s="3" t="s">
        <v>161</v>
      </c>
      <c r="CN166" s="3">
        <v>4571</v>
      </c>
      <c r="CO166" s="3" t="s">
        <v>162</v>
      </c>
      <c r="CP166" s="3">
        <v>12345</v>
      </c>
      <c r="CQ166" s="3" t="s">
        <v>163</v>
      </c>
      <c r="CR166" s="246" t="s">
        <v>179</v>
      </c>
      <c r="CS166" s="247" t="s">
        <v>180</v>
      </c>
      <c r="CT166" s="246" t="s">
        <v>199</v>
      </c>
      <c r="CU166" s="247" t="s">
        <v>200</v>
      </c>
      <c r="CV166" s="3" t="str">
        <f t="shared" si="126"/>
        <v>90876;36523</v>
      </c>
      <c r="CW166" s="3" t="s">
        <v>168</v>
      </c>
      <c r="CX166" s="3" t="str">
        <f t="shared" si="127"/>
        <v>;;BB166:BD166;;</v>
      </c>
      <c r="CY166" s="5" t="str">
        <f t="shared" si="128"/>
        <v>Unlock</v>
      </c>
      <c r="CZ166" s="5" t="str">
        <f t="shared" si="129"/>
        <v>Lock</v>
      </c>
      <c r="DA166" s="5" t="str">
        <f t="shared" si="130"/>
        <v>Lock</v>
      </c>
      <c r="DB166" s="5" t="str">
        <f t="shared" si="131"/>
        <v>Lock</v>
      </c>
      <c r="DC166" s="5" t="str">
        <f t="shared" si="132"/>
        <v>Lock</v>
      </c>
      <c r="DD166" s="78">
        <f t="shared" si="133"/>
        <v>3</v>
      </c>
      <c r="DE166" s="2"/>
      <c r="DF166" s="2"/>
      <c r="DG166" s="2"/>
      <c r="DH166" s="2"/>
      <c r="DI166" s="2"/>
      <c r="DJ166" s="2"/>
      <c r="DK166" s="5"/>
      <c r="DL166" s="2"/>
      <c r="DM166" s="2"/>
      <c r="DN166" s="2"/>
      <c r="DO166" s="2"/>
      <c r="DP166" s="2"/>
      <c r="DQ166" s="2"/>
      <c r="DR166" s="2"/>
      <c r="DS166" s="2"/>
      <c r="DT166" s="2"/>
      <c r="DU166" s="2"/>
      <c r="DV166" s="2"/>
      <c r="DW166" s="2"/>
      <c r="DX166" s="2"/>
      <c r="DY166" s="2"/>
      <c r="DZ166" s="2"/>
      <c r="EA166" s="2"/>
      <c r="EB166" s="2"/>
      <c r="EC166" s="2"/>
      <c r="ED166" s="2"/>
      <c r="EE166" s="2"/>
      <c r="EF166" s="1"/>
      <c r="EG166" s="98"/>
      <c r="EH166" s="98"/>
      <c r="EI166" s="1"/>
      <c r="EJ166" s="1"/>
      <c r="EK166" s="98"/>
      <c r="EL166" s="1"/>
    </row>
    <row r="167" spans="1:142">
      <c r="A167" s="32">
        <f t="shared" si="92"/>
        <v>10352</v>
      </c>
      <c r="B167" s="3" t="str">
        <f t="shared" si="93"/>
        <v>sv_statement//Statement//Export Statement&amp;PDFID=Donald Bachman_10352&amp;SO=Y</v>
      </c>
      <c r="C167" s="5" t="str">
        <f t="shared" si="134"/>
        <v>Statement</v>
      </c>
      <c r="D167" s="5" t="str">
        <f t="shared" si="94"/>
        <v>Donald Bachman_10352</v>
      </c>
      <c r="E167" s="5"/>
      <c r="F167" s="5">
        <v>10352</v>
      </c>
      <c r="G167" s="22" t="s">
        <v>467</v>
      </c>
      <c r="H167" s="5" t="s">
        <v>214</v>
      </c>
      <c r="I167" s="5" t="s">
        <v>225</v>
      </c>
      <c r="J167" s="5" t="s">
        <v>208</v>
      </c>
      <c r="K167" s="5" t="s">
        <v>209</v>
      </c>
      <c r="L167" s="31">
        <f t="shared" si="95"/>
        <v>20714</v>
      </c>
      <c r="M167" s="5" t="s">
        <v>198</v>
      </c>
      <c r="N167" s="22" t="s">
        <v>155</v>
      </c>
      <c r="O167" s="100">
        <v>38404</v>
      </c>
      <c r="P167" s="146">
        <f>VLOOKUP(I167,'Job Codes'!$B$2:$I$120,4,FALSE)</f>
        <v>27000</v>
      </c>
      <c r="Q167" s="146">
        <f>VLOOKUP(I167,'Job Codes'!$B$2:$I$120,5,FALSE)</f>
        <v>35100</v>
      </c>
      <c r="R167" s="146">
        <f>VLOOKUP(I167,'Job Codes'!$B$2:$I$120,6,FALSE)</f>
        <v>42120</v>
      </c>
      <c r="S167" s="22" t="s">
        <v>171</v>
      </c>
      <c r="T167" s="146">
        <v>31387</v>
      </c>
      <c r="U167" s="8">
        <f>VLOOKUP(S167,Data!$H$22:$I$25,2,FALSE)*T167</f>
        <v>31387</v>
      </c>
      <c r="V167" s="180">
        <f t="shared" si="96"/>
        <v>0.8942165242165242</v>
      </c>
      <c r="W167" s="180">
        <f t="shared" si="97"/>
        <v>0.11829738426737184</v>
      </c>
      <c r="X167" s="22" t="str">
        <f t="shared" si="98"/>
        <v>Yes</v>
      </c>
      <c r="Y167" s="180">
        <f t="shared" si="99"/>
        <v>0.02</v>
      </c>
      <c r="Z167" s="146">
        <f t="shared" si="100"/>
        <v>627.74</v>
      </c>
      <c r="AA167" s="146">
        <f t="shared" si="101"/>
        <v>627.74</v>
      </c>
      <c r="AB167" s="72"/>
      <c r="AC167" s="146">
        <f>AB167/VLOOKUP(S167,Data!$H$22:$I$25,2,FALSE)</f>
        <v>0</v>
      </c>
      <c r="AD167" s="22" t="s">
        <v>157</v>
      </c>
      <c r="AE167" s="146">
        <f>VLOOKUP(S167,Data!$H$22:$J$25,3,FALSE)*T167</f>
        <v>941.61</v>
      </c>
      <c r="AF167" s="8">
        <f>VLOOKUP(S167,Data!$H$22:$I$25,2,FALSE)*AE167</f>
        <v>941.61</v>
      </c>
      <c r="AG167" s="8" t="s">
        <v>178</v>
      </c>
      <c r="AH167" s="23">
        <v>0.02</v>
      </c>
      <c r="AI167" s="72"/>
      <c r="AJ167" s="159">
        <f t="shared" si="102"/>
        <v>0.02</v>
      </c>
      <c r="AK167" s="168">
        <f t="shared" si="135"/>
        <v>627.74</v>
      </c>
      <c r="AL167" s="160">
        <f t="shared" si="136"/>
        <v>627.74</v>
      </c>
      <c r="AM167" s="168">
        <f t="shared" si="103"/>
        <v>32014.74</v>
      </c>
      <c r="AN167" s="160">
        <f t="shared" si="104"/>
        <v>32014.74</v>
      </c>
      <c r="AO167" s="160" t="str">
        <f t="shared" si="137"/>
        <v>No</v>
      </c>
      <c r="AP167" s="146">
        <f>IF(AQ167=0,0,AQ167/VLOOKUP(S167,Data!$H$22:$I$25,2,FALSE))</f>
        <v>0</v>
      </c>
      <c r="AQ167" s="183">
        <f t="shared" si="105"/>
        <v>0</v>
      </c>
      <c r="AR167" s="165">
        <f t="shared" si="106"/>
        <v>627.74</v>
      </c>
      <c r="AS167" s="183">
        <f t="shared" si="107"/>
        <v>627.74</v>
      </c>
      <c r="AT167" s="250">
        <f t="shared" si="108"/>
        <v>0.02</v>
      </c>
      <c r="AU167" s="146">
        <f t="shared" si="109"/>
        <v>32014.74</v>
      </c>
      <c r="AV167" s="8">
        <f t="shared" si="110"/>
        <v>32014.74</v>
      </c>
      <c r="AW167" s="8" t="str">
        <f t="shared" si="111"/>
        <v/>
      </c>
      <c r="AX167" s="180">
        <f t="shared" si="112"/>
        <v>0.91210085470085478</v>
      </c>
      <c r="AY167" s="146">
        <f t="shared" si="113"/>
        <v>0</v>
      </c>
      <c r="AZ167" s="146">
        <f t="shared" si="114"/>
        <v>0</v>
      </c>
      <c r="BA167" s="22" t="s">
        <v>159</v>
      </c>
      <c r="BB167" s="149"/>
      <c r="BC167" s="149"/>
      <c r="BD167" s="144"/>
      <c r="BE167" s="146" t="str">
        <f t="shared" si="115"/>
        <v/>
      </c>
      <c r="BF167" s="8" t="str">
        <f t="shared" si="116"/>
        <v/>
      </c>
      <c r="BG167" s="8" t="str">
        <f>IF(LEN(BC167)&gt;0,VLOOKUP(BC167,'Job Codes'!B160:I278,7,FALSE),"")</f>
        <v/>
      </c>
      <c r="BH167" s="192" t="str">
        <f>IF(LEN(BC167)&gt;0,VLOOKUP(BC167,'Job Codes'!B160:I278,8,FALSE),"")</f>
        <v/>
      </c>
      <c r="BI167" s="192" t="str">
        <f>IF(LEN(BC167)&gt;0,VLOOKUP(BC167,'Job Codes'!$B$2:$J$120,9,FALSE),"")</f>
        <v/>
      </c>
      <c r="BJ167" s="146" t="str">
        <f>IF(LEN(BC167)&gt;0,VLOOKUP(BC167,'Job Codes'!$B$2:$I$120,4,FALSE),"")</f>
        <v/>
      </c>
      <c r="BK167" s="146" t="str">
        <f>IF(LEN(BC167)&gt;0,VLOOKUP(BC167,'Job Codes'!$B$2:$I$120,5,FALSE),"")</f>
        <v/>
      </c>
      <c r="BL167" s="146" t="str">
        <f>IF(LEN(BC167)&gt;0,VLOOKUP(BC167,'Job Codes'!$B$2:$I$120,6,FALSE),"")</f>
        <v/>
      </c>
      <c r="BM167" s="168">
        <f t="shared" si="117"/>
        <v>32014.74</v>
      </c>
      <c r="BN167" s="160">
        <f t="shared" si="118"/>
        <v>32014.74</v>
      </c>
      <c r="BO167" s="22" t="s">
        <v>157</v>
      </c>
      <c r="BP167" s="157">
        <f>VLOOKUP(I167,'Job Codes'!$B$2:$I$120,8,FALSE)</f>
        <v>0.05</v>
      </c>
      <c r="BQ167" s="25" t="str">
        <f>IF(O167&gt;Data!$H$33,"Yes","No")</f>
        <v>No</v>
      </c>
      <c r="BR167" s="191">
        <v>0.05</v>
      </c>
      <c r="BS167" s="150">
        <f t="shared" si="119"/>
        <v>1569.3500000000001</v>
      </c>
      <c r="BT167" s="25">
        <f t="shared" si="120"/>
        <v>1569.3500000000001</v>
      </c>
      <c r="BU167" s="161">
        <v>1</v>
      </c>
      <c r="BV167" s="168">
        <f t="shared" si="121"/>
        <v>1569.3500000000001</v>
      </c>
      <c r="BW167" s="160">
        <f t="shared" si="122"/>
        <v>1569.3500000000001</v>
      </c>
      <c r="BX167" s="149"/>
      <c r="BY167" s="32">
        <f t="shared" si="123"/>
        <v>0</v>
      </c>
      <c r="BZ167" s="22" t="s">
        <v>159</v>
      </c>
      <c r="CA167" s="231">
        <f>VLOOKUP(I167,'Job Codes'!$B$2:$J$120,9,FALSE)</f>
        <v>0</v>
      </c>
      <c r="CB167" s="253">
        <f t="shared" si="124"/>
        <v>0</v>
      </c>
      <c r="CC167" s="72"/>
      <c r="CD167" s="25" t="str">
        <f t="shared" si="125"/>
        <v>Meets</v>
      </c>
      <c r="CE167" s="27"/>
      <c r="CF167" s="27"/>
      <c r="CG167" s="27"/>
      <c r="CH167" s="27"/>
      <c r="CI167" s="27"/>
      <c r="CJ167" s="3"/>
      <c r="CK167" s="3"/>
      <c r="CL167" s="3">
        <v>4569</v>
      </c>
      <c r="CM167" s="3" t="s">
        <v>161</v>
      </c>
      <c r="CN167" s="3">
        <v>4571</v>
      </c>
      <c r="CO167" s="3" t="s">
        <v>162</v>
      </c>
      <c r="CP167" s="3">
        <v>12345</v>
      </c>
      <c r="CQ167" s="3" t="s">
        <v>163</v>
      </c>
      <c r="CR167" s="246" t="s">
        <v>179</v>
      </c>
      <c r="CS167" s="247" t="s">
        <v>180</v>
      </c>
      <c r="CT167" s="246" t="s">
        <v>199</v>
      </c>
      <c r="CU167" s="247" t="s">
        <v>200</v>
      </c>
      <c r="CV167" s="3" t="str">
        <f t="shared" si="126"/>
        <v>90876;36523</v>
      </c>
      <c r="CW167" s="3" t="s">
        <v>168</v>
      </c>
      <c r="CX167" s="3" t="str">
        <f t="shared" si="127"/>
        <v>;;BB167:BD167;;CC167</v>
      </c>
      <c r="CY167" s="5" t="str">
        <f t="shared" si="128"/>
        <v>Unlock</v>
      </c>
      <c r="CZ167" s="5" t="str">
        <f t="shared" si="129"/>
        <v>Lock</v>
      </c>
      <c r="DA167" s="5" t="str">
        <f t="shared" si="130"/>
        <v>Lock</v>
      </c>
      <c r="DB167" s="5" t="str">
        <f t="shared" si="131"/>
        <v>Lock</v>
      </c>
      <c r="DC167" s="5" t="str">
        <f t="shared" si="132"/>
        <v>Lock</v>
      </c>
      <c r="DD167" s="78">
        <f t="shared" si="133"/>
        <v>3</v>
      </c>
      <c r="DE167" s="2"/>
      <c r="DF167" s="2"/>
      <c r="DG167" s="2"/>
      <c r="DH167" s="2"/>
      <c r="DI167" s="2"/>
      <c r="DJ167" s="2"/>
      <c r="DK167" s="5"/>
      <c r="DL167" s="2"/>
      <c r="DM167" s="2"/>
      <c r="DN167" s="2"/>
      <c r="DO167" s="2"/>
      <c r="DP167" s="2"/>
      <c r="DQ167" s="2"/>
      <c r="DR167" s="2"/>
      <c r="DS167" s="2"/>
      <c r="DT167" s="2"/>
      <c r="DU167" s="2"/>
      <c r="DV167" s="2"/>
      <c r="DW167" s="2"/>
      <c r="DX167" s="2"/>
      <c r="DY167" s="2"/>
      <c r="DZ167" s="2"/>
      <c r="EA167" s="2"/>
      <c r="EB167" s="2"/>
      <c r="EC167" s="2"/>
      <c r="ED167" s="2"/>
      <c r="EE167" s="2"/>
      <c r="EF167" s="1"/>
      <c r="EG167" s="98"/>
      <c r="EH167" s="98"/>
      <c r="EI167" s="1"/>
      <c r="EJ167" s="1"/>
      <c r="EK167" s="98"/>
      <c r="EL167" s="1"/>
    </row>
    <row r="168" spans="1:142">
      <c r="A168" s="32">
        <f t="shared" si="92"/>
        <v>10390</v>
      </c>
      <c r="B168" s="3" t="str">
        <f t="shared" si="93"/>
        <v>sv_statement//Statement//Export Statement&amp;PDFID=Juan Sartin_10390&amp;SO=Y</v>
      </c>
      <c r="C168" s="5" t="str">
        <f t="shared" si="134"/>
        <v>Statement</v>
      </c>
      <c r="D168" s="5" t="str">
        <f t="shared" si="94"/>
        <v>Juan Sartin_10390</v>
      </c>
      <c r="E168" s="5"/>
      <c r="F168" s="5">
        <v>10390</v>
      </c>
      <c r="G168" s="22" t="s">
        <v>468</v>
      </c>
      <c r="H168" s="5" t="s">
        <v>214</v>
      </c>
      <c r="I168" s="5" t="s">
        <v>215</v>
      </c>
      <c r="J168" s="5" t="s">
        <v>208</v>
      </c>
      <c r="K168" s="5" t="s">
        <v>209</v>
      </c>
      <c r="L168" s="31">
        <f t="shared" si="95"/>
        <v>20714</v>
      </c>
      <c r="M168" s="5" t="s">
        <v>198</v>
      </c>
      <c r="N168" s="22" t="s">
        <v>155</v>
      </c>
      <c r="O168" s="100">
        <v>38411</v>
      </c>
      <c r="P168" s="146">
        <f>VLOOKUP(I168,'Job Codes'!$B$2:$I$120,4,FALSE)</f>
        <v>27000</v>
      </c>
      <c r="Q168" s="146">
        <f>VLOOKUP(I168,'Job Codes'!$B$2:$I$120,5,FALSE)</f>
        <v>35100</v>
      </c>
      <c r="R168" s="146">
        <f>VLOOKUP(I168,'Job Codes'!$B$2:$I$120,6,FALSE)</f>
        <v>42120</v>
      </c>
      <c r="S168" s="22" t="s">
        <v>171</v>
      </c>
      <c r="T168" s="146">
        <v>32531</v>
      </c>
      <c r="U168" s="8">
        <f>VLOOKUP(S168,Data!$H$22:$I$25,2,FALSE)*T168</f>
        <v>32531</v>
      </c>
      <c r="V168" s="180">
        <f t="shared" si="96"/>
        <v>0.92680911680911682</v>
      </c>
      <c r="W168" s="180">
        <f t="shared" si="97"/>
        <v>7.8970827825766199E-2</v>
      </c>
      <c r="X168" s="22" t="str">
        <f t="shared" si="98"/>
        <v>Yes</v>
      </c>
      <c r="Y168" s="180">
        <f t="shared" si="99"/>
        <v>0.02</v>
      </c>
      <c r="Z168" s="146">
        <f t="shared" si="100"/>
        <v>650.62</v>
      </c>
      <c r="AA168" s="146">
        <f t="shared" si="101"/>
        <v>650.62</v>
      </c>
      <c r="AB168" s="72"/>
      <c r="AC168" s="146">
        <f>AB168/VLOOKUP(S168,Data!$H$22:$I$25,2,FALSE)</f>
        <v>0</v>
      </c>
      <c r="AD168" s="22" t="s">
        <v>157</v>
      </c>
      <c r="AE168" s="146">
        <f>VLOOKUP(S168,Data!$H$22:$J$25,3,FALSE)*T168</f>
        <v>975.93</v>
      </c>
      <c r="AF168" s="8">
        <f>VLOOKUP(S168,Data!$H$22:$I$25,2,FALSE)*AE168</f>
        <v>975.93</v>
      </c>
      <c r="AG168" s="8" t="s">
        <v>158</v>
      </c>
      <c r="AH168" s="23">
        <v>3.5000000000000003E-2</v>
      </c>
      <c r="AI168" s="72"/>
      <c r="AJ168" s="159">
        <f t="shared" si="102"/>
        <v>3.5000000000000003E-2</v>
      </c>
      <c r="AK168" s="168">
        <f t="shared" si="135"/>
        <v>1138.585</v>
      </c>
      <c r="AL168" s="160">
        <f t="shared" si="136"/>
        <v>1138.585</v>
      </c>
      <c r="AM168" s="168">
        <f t="shared" si="103"/>
        <v>33669.584999999999</v>
      </c>
      <c r="AN168" s="160">
        <f t="shared" si="104"/>
        <v>33669.584999999999</v>
      </c>
      <c r="AO168" s="160" t="str">
        <f t="shared" si="137"/>
        <v>No</v>
      </c>
      <c r="AP168" s="146">
        <f>IF(AQ168=0,0,AQ168/VLOOKUP(S168,Data!$H$22:$I$25,2,FALSE))</f>
        <v>0</v>
      </c>
      <c r="AQ168" s="183">
        <f t="shared" si="105"/>
        <v>0</v>
      </c>
      <c r="AR168" s="165">
        <f t="shared" si="106"/>
        <v>1138.585</v>
      </c>
      <c r="AS168" s="183">
        <f t="shared" si="107"/>
        <v>1138.585</v>
      </c>
      <c r="AT168" s="250">
        <f t="shared" si="108"/>
        <v>3.5000000000000003E-2</v>
      </c>
      <c r="AU168" s="146">
        <f t="shared" si="109"/>
        <v>33669.584999999999</v>
      </c>
      <c r="AV168" s="8">
        <f t="shared" si="110"/>
        <v>33669.584999999999</v>
      </c>
      <c r="AW168" s="8" t="str">
        <f t="shared" si="111"/>
        <v/>
      </c>
      <c r="AX168" s="180">
        <f t="shared" si="112"/>
        <v>0.95924743589743589</v>
      </c>
      <c r="AY168" s="146">
        <f t="shared" si="113"/>
        <v>0</v>
      </c>
      <c r="AZ168" s="146">
        <f t="shared" si="114"/>
        <v>0</v>
      </c>
      <c r="BA168" s="22" t="s">
        <v>159</v>
      </c>
      <c r="BB168" s="149"/>
      <c r="BC168" s="149"/>
      <c r="BD168" s="144"/>
      <c r="BE168" s="146" t="str">
        <f t="shared" si="115"/>
        <v/>
      </c>
      <c r="BF168" s="8" t="str">
        <f t="shared" si="116"/>
        <v/>
      </c>
      <c r="BG168" s="8" t="str">
        <f>IF(LEN(BC168)&gt;0,VLOOKUP(BC168,'Job Codes'!B161:I279,7,FALSE),"")</f>
        <v/>
      </c>
      <c r="BH168" s="192" t="str">
        <f>IF(LEN(BC168)&gt;0,VLOOKUP(BC168,'Job Codes'!B161:I279,8,FALSE),"")</f>
        <v/>
      </c>
      <c r="BI168" s="192" t="str">
        <f>IF(LEN(BC168)&gt;0,VLOOKUP(BC168,'Job Codes'!$B$2:$J$120,9,FALSE),"")</f>
        <v/>
      </c>
      <c r="BJ168" s="146" t="str">
        <f>IF(LEN(BC168)&gt;0,VLOOKUP(BC168,'Job Codes'!$B$2:$I$120,4,FALSE),"")</f>
        <v/>
      </c>
      <c r="BK168" s="146" t="str">
        <f>IF(LEN(BC168)&gt;0,VLOOKUP(BC168,'Job Codes'!$B$2:$I$120,5,FALSE),"")</f>
        <v/>
      </c>
      <c r="BL168" s="146" t="str">
        <f>IF(LEN(BC168)&gt;0,VLOOKUP(BC168,'Job Codes'!$B$2:$I$120,6,FALSE),"")</f>
        <v/>
      </c>
      <c r="BM168" s="168">
        <f t="shared" si="117"/>
        <v>33669.584999999999</v>
      </c>
      <c r="BN168" s="160">
        <f t="shared" si="118"/>
        <v>33669.584999999999</v>
      </c>
      <c r="BO168" s="22" t="s">
        <v>157</v>
      </c>
      <c r="BP168" s="157">
        <f>VLOOKUP(I168,'Job Codes'!$B$2:$I$120,8,FALSE)</f>
        <v>0.05</v>
      </c>
      <c r="BQ168" s="25" t="str">
        <f>IF(O168&gt;Data!$H$33,"Yes","No")</f>
        <v>No</v>
      </c>
      <c r="BR168" s="191">
        <v>0.05</v>
      </c>
      <c r="BS168" s="150">
        <f t="shared" si="119"/>
        <v>1626.5500000000002</v>
      </c>
      <c r="BT168" s="25">
        <f t="shared" si="120"/>
        <v>1626.5500000000002</v>
      </c>
      <c r="BU168" s="161">
        <v>1</v>
      </c>
      <c r="BV168" s="168">
        <f t="shared" si="121"/>
        <v>1626.5500000000002</v>
      </c>
      <c r="BW168" s="160">
        <f t="shared" si="122"/>
        <v>1626.5500000000002</v>
      </c>
      <c r="BX168" s="149"/>
      <c r="BY168" s="32">
        <f t="shared" si="123"/>
        <v>0</v>
      </c>
      <c r="BZ168" s="22" t="s">
        <v>159</v>
      </c>
      <c r="CA168" s="231">
        <f>VLOOKUP(I168,'Job Codes'!$B$2:$J$120,9,FALSE)</f>
        <v>0</v>
      </c>
      <c r="CB168" s="253">
        <f t="shared" si="124"/>
        <v>0</v>
      </c>
      <c r="CC168" s="72"/>
      <c r="CD168" s="25" t="str">
        <f t="shared" si="125"/>
        <v>Exceeds</v>
      </c>
      <c r="CE168" s="27"/>
      <c r="CF168" s="27"/>
      <c r="CG168" s="27"/>
      <c r="CH168" s="27"/>
      <c r="CI168" s="27"/>
      <c r="CJ168" s="3"/>
      <c r="CK168" s="3"/>
      <c r="CL168" s="3">
        <v>4569</v>
      </c>
      <c r="CM168" s="3" t="s">
        <v>161</v>
      </c>
      <c r="CN168" s="3">
        <v>4571</v>
      </c>
      <c r="CO168" s="3" t="s">
        <v>162</v>
      </c>
      <c r="CP168" s="3">
        <v>12345</v>
      </c>
      <c r="CQ168" s="3" t="s">
        <v>163</v>
      </c>
      <c r="CR168" s="246" t="s">
        <v>179</v>
      </c>
      <c r="CS168" s="247" t="s">
        <v>180</v>
      </c>
      <c r="CT168" s="246" t="s">
        <v>199</v>
      </c>
      <c r="CU168" s="247" t="s">
        <v>200</v>
      </c>
      <c r="CV168" s="3" t="str">
        <f t="shared" si="126"/>
        <v>90876;36523</v>
      </c>
      <c r="CW168" s="3" t="s">
        <v>168</v>
      </c>
      <c r="CX168" s="3" t="str">
        <f t="shared" si="127"/>
        <v>;;BB168:BD168;;CC168</v>
      </c>
      <c r="CY168" s="5" t="str">
        <f t="shared" si="128"/>
        <v>Unlock</v>
      </c>
      <c r="CZ168" s="5" t="str">
        <f t="shared" si="129"/>
        <v>Lock</v>
      </c>
      <c r="DA168" s="5" t="str">
        <f t="shared" si="130"/>
        <v>Lock</v>
      </c>
      <c r="DB168" s="5" t="str">
        <f t="shared" si="131"/>
        <v>Lock</v>
      </c>
      <c r="DC168" s="5" t="str">
        <f t="shared" si="132"/>
        <v>Lock</v>
      </c>
      <c r="DD168" s="78">
        <f t="shared" si="133"/>
        <v>3</v>
      </c>
      <c r="DE168" s="2"/>
      <c r="DF168" s="2"/>
      <c r="DG168" s="2"/>
      <c r="DH168" s="2"/>
      <c r="DI168" s="2"/>
      <c r="DJ168" s="2"/>
      <c r="DK168" s="5"/>
      <c r="DL168" s="2"/>
      <c r="DM168" s="2"/>
      <c r="DN168" s="2"/>
      <c r="DO168" s="2"/>
      <c r="DP168" s="2"/>
      <c r="DQ168" s="2"/>
      <c r="DR168" s="2"/>
      <c r="DS168" s="2"/>
      <c r="DT168" s="2"/>
      <c r="DU168" s="2"/>
      <c r="DV168" s="2"/>
      <c r="DW168" s="2"/>
      <c r="DX168" s="2"/>
      <c r="DY168" s="2"/>
      <c r="DZ168" s="2"/>
      <c r="EA168" s="2"/>
      <c r="EB168" s="2"/>
      <c r="EC168" s="2"/>
      <c r="ED168" s="2"/>
      <c r="EE168" s="2"/>
      <c r="EF168" s="1"/>
      <c r="EG168" s="98"/>
      <c r="EH168" s="98"/>
      <c r="EI168" s="1"/>
      <c r="EJ168" s="1"/>
      <c r="EK168" s="98"/>
      <c r="EL168" s="1"/>
    </row>
    <row r="169" spans="1:142">
      <c r="A169" s="32">
        <f t="shared" si="92"/>
        <v>10447</v>
      </c>
      <c r="B169" s="3" t="str">
        <f t="shared" si="93"/>
        <v>sv_statement//Statement//Export Statement&amp;PDFID=Ryan Battles_10447&amp;SO=Y</v>
      </c>
      <c r="C169" s="5" t="str">
        <f t="shared" si="134"/>
        <v>Statement</v>
      </c>
      <c r="D169" s="5" t="str">
        <f t="shared" si="94"/>
        <v>Ryan Battles_10447</v>
      </c>
      <c r="E169" s="5"/>
      <c r="F169" s="5">
        <v>10447</v>
      </c>
      <c r="G169" s="22" t="s">
        <v>469</v>
      </c>
      <c r="H169" s="5" t="s">
        <v>195</v>
      </c>
      <c r="I169" s="5" t="s">
        <v>242</v>
      </c>
      <c r="J169" s="5" t="s">
        <v>208</v>
      </c>
      <c r="K169" s="5" t="s">
        <v>209</v>
      </c>
      <c r="L169" s="31">
        <f t="shared" si="95"/>
        <v>20714</v>
      </c>
      <c r="M169" s="5" t="s">
        <v>198</v>
      </c>
      <c r="N169" s="22" t="s">
        <v>155</v>
      </c>
      <c r="O169" s="100">
        <v>38412</v>
      </c>
      <c r="P169" s="146">
        <f>VLOOKUP(I169,'Job Codes'!$B$2:$I$120,4,FALSE)</f>
        <v>33000</v>
      </c>
      <c r="Q169" s="146">
        <f>VLOOKUP(I169,'Job Codes'!$B$2:$I$120,5,FALSE)</f>
        <v>42900</v>
      </c>
      <c r="R169" s="146">
        <f>VLOOKUP(I169,'Job Codes'!$B$2:$I$120,6,FALSE)</f>
        <v>51480</v>
      </c>
      <c r="S169" s="22" t="s">
        <v>171</v>
      </c>
      <c r="T169" s="146">
        <v>36504</v>
      </c>
      <c r="U169" s="8">
        <f>VLOOKUP(S169,Data!$H$22:$I$25,2,FALSE)*T169</f>
        <v>36504</v>
      </c>
      <c r="V169" s="180">
        <f t="shared" si="96"/>
        <v>0.85090909090909095</v>
      </c>
      <c r="W169" s="180">
        <f t="shared" si="97"/>
        <v>0.1752136752136752</v>
      </c>
      <c r="X169" s="22" t="str">
        <f t="shared" si="98"/>
        <v>Yes</v>
      </c>
      <c r="Y169" s="180">
        <f t="shared" si="99"/>
        <v>0.02</v>
      </c>
      <c r="Z169" s="146">
        <f t="shared" si="100"/>
        <v>730.08</v>
      </c>
      <c r="AA169" s="146">
        <f t="shared" si="101"/>
        <v>730.08</v>
      </c>
      <c r="AB169" s="72"/>
      <c r="AC169" s="146">
        <f>AB169/VLOOKUP(S169,Data!$H$22:$I$25,2,FALSE)</f>
        <v>0</v>
      </c>
      <c r="AD169" s="22" t="s">
        <v>157</v>
      </c>
      <c r="AE169" s="146">
        <f>VLOOKUP(S169,Data!$H$22:$J$25,3,FALSE)*T169</f>
        <v>1095.1199999999999</v>
      </c>
      <c r="AF169" s="8">
        <f>VLOOKUP(S169,Data!$H$22:$I$25,2,FALSE)*AE169</f>
        <v>1095.1199999999999</v>
      </c>
      <c r="AG169" s="8" t="s">
        <v>178</v>
      </c>
      <c r="AH169" s="23">
        <v>0.02</v>
      </c>
      <c r="AI169" s="72"/>
      <c r="AJ169" s="159">
        <f t="shared" si="102"/>
        <v>0.02</v>
      </c>
      <c r="AK169" s="168">
        <f t="shared" si="135"/>
        <v>730.08</v>
      </c>
      <c r="AL169" s="160">
        <f t="shared" si="136"/>
        <v>730.08</v>
      </c>
      <c r="AM169" s="168">
        <f t="shared" si="103"/>
        <v>37234.080000000002</v>
      </c>
      <c r="AN169" s="160">
        <f t="shared" si="104"/>
        <v>37234.080000000002</v>
      </c>
      <c r="AO169" s="160" t="str">
        <f t="shared" si="137"/>
        <v>No</v>
      </c>
      <c r="AP169" s="146">
        <f>IF(AQ169=0,0,AQ169/VLOOKUP(S169,Data!$H$22:$I$25,2,FALSE))</f>
        <v>0</v>
      </c>
      <c r="AQ169" s="183">
        <f t="shared" si="105"/>
        <v>0</v>
      </c>
      <c r="AR169" s="165">
        <f t="shared" si="106"/>
        <v>730.08</v>
      </c>
      <c r="AS169" s="183">
        <f t="shared" si="107"/>
        <v>730.08</v>
      </c>
      <c r="AT169" s="250">
        <f t="shared" si="108"/>
        <v>0.02</v>
      </c>
      <c r="AU169" s="146">
        <f t="shared" si="109"/>
        <v>37234.080000000002</v>
      </c>
      <c r="AV169" s="8">
        <f t="shared" si="110"/>
        <v>37234.080000000002</v>
      </c>
      <c r="AW169" s="8" t="str">
        <f t="shared" si="111"/>
        <v/>
      </c>
      <c r="AX169" s="180">
        <f t="shared" si="112"/>
        <v>0.86792727272727277</v>
      </c>
      <c r="AY169" s="146">
        <f t="shared" si="113"/>
        <v>0</v>
      </c>
      <c r="AZ169" s="146">
        <f t="shared" si="114"/>
        <v>0</v>
      </c>
      <c r="BA169" s="22" t="s">
        <v>159</v>
      </c>
      <c r="BB169" s="149"/>
      <c r="BC169" s="149"/>
      <c r="BD169" s="144"/>
      <c r="BE169" s="146" t="str">
        <f t="shared" si="115"/>
        <v/>
      </c>
      <c r="BF169" s="8" t="str">
        <f t="shared" si="116"/>
        <v/>
      </c>
      <c r="BG169" s="8" t="str">
        <f>IF(LEN(BC169)&gt;0,VLOOKUP(BC169,'Job Codes'!B162:I280,7,FALSE),"")</f>
        <v/>
      </c>
      <c r="BH169" s="192" t="str">
        <f>IF(LEN(BC169)&gt;0,VLOOKUP(BC169,'Job Codes'!B162:I280,8,FALSE),"")</f>
        <v/>
      </c>
      <c r="BI169" s="192" t="str">
        <f>IF(LEN(BC169)&gt;0,VLOOKUP(BC169,'Job Codes'!$B$2:$J$120,9,FALSE),"")</f>
        <v/>
      </c>
      <c r="BJ169" s="146" t="str">
        <f>IF(LEN(BC169)&gt;0,VLOOKUP(BC169,'Job Codes'!$B$2:$I$120,4,FALSE),"")</f>
        <v/>
      </c>
      <c r="BK169" s="146" t="str">
        <f>IF(LEN(BC169)&gt;0,VLOOKUP(BC169,'Job Codes'!$B$2:$I$120,5,FALSE),"")</f>
        <v/>
      </c>
      <c r="BL169" s="146" t="str">
        <f>IF(LEN(BC169)&gt;0,VLOOKUP(BC169,'Job Codes'!$B$2:$I$120,6,FALSE),"")</f>
        <v/>
      </c>
      <c r="BM169" s="168">
        <f t="shared" si="117"/>
        <v>37234.080000000002</v>
      </c>
      <c r="BN169" s="160">
        <f t="shared" si="118"/>
        <v>37234.080000000002</v>
      </c>
      <c r="BO169" s="22" t="s">
        <v>157</v>
      </c>
      <c r="BP169" s="157">
        <f>VLOOKUP(I169,'Job Codes'!$B$2:$I$120,8,FALSE)</f>
        <v>0.1</v>
      </c>
      <c r="BQ169" s="25" t="str">
        <f>IF(O169&gt;Data!$H$33,"Yes","No")</f>
        <v>No</v>
      </c>
      <c r="BR169" s="191">
        <v>0.1</v>
      </c>
      <c r="BS169" s="150">
        <f t="shared" si="119"/>
        <v>3650.4</v>
      </c>
      <c r="BT169" s="25">
        <f t="shared" si="120"/>
        <v>3650.4</v>
      </c>
      <c r="BU169" s="161">
        <v>1</v>
      </c>
      <c r="BV169" s="168">
        <f t="shared" si="121"/>
        <v>3650.4</v>
      </c>
      <c r="BW169" s="160">
        <f t="shared" si="122"/>
        <v>3650.4</v>
      </c>
      <c r="BX169" s="149"/>
      <c r="BY169" s="32">
        <f t="shared" si="123"/>
        <v>0</v>
      </c>
      <c r="BZ169" s="22" t="s">
        <v>157</v>
      </c>
      <c r="CA169" s="231">
        <f>VLOOKUP(I169,'Job Codes'!$B$2:$J$120,9,FALSE)</f>
        <v>0.1</v>
      </c>
      <c r="CB169" s="253">
        <f t="shared" si="124"/>
        <v>3650.4</v>
      </c>
      <c r="CC169" s="72"/>
      <c r="CD169" s="25" t="str">
        <f t="shared" si="125"/>
        <v>Meets</v>
      </c>
      <c r="CE169" s="27"/>
      <c r="CF169" s="27"/>
      <c r="CG169" s="27"/>
      <c r="CH169" s="27"/>
      <c r="CI169" s="27"/>
      <c r="CJ169" s="3"/>
      <c r="CK169" s="3"/>
      <c r="CL169" s="3">
        <v>4569</v>
      </c>
      <c r="CM169" s="3" t="s">
        <v>161</v>
      </c>
      <c r="CN169" s="3">
        <v>4571</v>
      </c>
      <c r="CO169" s="3" t="s">
        <v>162</v>
      </c>
      <c r="CP169" s="3">
        <v>12345</v>
      </c>
      <c r="CQ169" s="3" t="s">
        <v>163</v>
      </c>
      <c r="CR169" s="246" t="s">
        <v>179</v>
      </c>
      <c r="CS169" s="247" t="s">
        <v>180</v>
      </c>
      <c r="CT169" s="246" t="s">
        <v>199</v>
      </c>
      <c r="CU169" s="247" t="s">
        <v>200</v>
      </c>
      <c r="CV169" s="3" t="str">
        <f t="shared" si="126"/>
        <v>90876;36523</v>
      </c>
      <c r="CW169" s="3" t="s">
        <v>168</v>
      </c>
      <c r="CX169" s="3" t="str">
        <f t="shared" si="127"/>
        <v>;;BB169:BD169;;</v>
      </c>
      <c r="CY169" s="5" t="str">
        <f t="shared" si="128"/>
        <v>Unlock</v>
      </c>
      <c r="CZ169" s="5" t="str">
        <f t="shared" si="129"/>
        <v>Lock</v>
      </c>
      <c r="DA169" s="5" t="str">
        <f t="shared" si="130"/>
        <v>Lock</v>
      </c>
      <c r="DB169" s="5" t="str">
        <f t="shared" si="131"/>
        <v>Lock</v>
      </c>
      <c r="DC169" s="5" t="str">
        <f t="shared" si="132"/>
        <v>Lock</v>
      </c>
      <c r="DD169" s="78">
        <f t="shared" si="133"/>
        <v>3</v>
      </c>
      <c r="DE169" s="2"/>
      <c r="DF169" s="2"/>
      <c r="DG169" s="2"/>
      <c r="DH169" s="2"/>
      <c r="DI169" s="2"/>
      <c r="DJ169" s="2"/>
      <c r="DK169" s="5"/>
      <c r="DL169" s="2"/>
      <c r="DM169" s="2"/>
      <c r="DN169" s="2"/>
      <c r="DO169" s="2"/>
      <c r="DP169" s="2"/>
      <c r="DQ169" s="2"/>
      <c r="DR169" s="2"/>
      <c r="DS169" s="2"/>
      <c r="DT169" s="2"/>
      <c r="DU169" s="2"/>
      <c r="DV169" s="2"/>
      <c r="DW169" s="2"/>
      <c r="DX169" s="2"/>
      <c r="DY169" s="2"/>
      <c r="DZ169" s="2"/>
      <c r="EA169" s="2"/>
      <c r="EB169" s="2"/>
      <c r="EC169" s="2"/>
      <c r="ED169" s="2"/>
      <c r="EE169" s="2"/>
      <c r="EF169" s="1"/>
      <c r="EG169" s="98"/>
      <c r="EH169" s="98"/>
      <c r="EI169" s="1"/>
      <c r="EJ169" s="1"/>
      <c r="EK169" s="98"/>
      <c r="EL169" s="1"/>
    </row>
    <row r="170" spans="1:142">
      <c r="A170" s="32">
        <f t="shared" si="92"/>
        <v>10751</v>
      </c>
      <c r="B170" s="3" t="str">
        <f t="shared" si="93"/>
        <v>sv_statement//Statement//Export Statement&amp;PDFID=Curtis Thompkins_10751&amp;SO=Y</v>
      </c>
      <c r="C170" s="5" t="str">
        <f t="shared" si="134"/>
        <v>Statement</v>
      </c>
      <c r="D170" s="5" t="str">
        <f t="shared" si="94"/>
        <v>Curtis Thompkins_10751</v>
      </c>
      <c r="E170" s="5"/>
      <c r="F170" s="5">
        <v>10751</v>
      </c>
      <c r="G170" s="22" t="s">
        <v>470</v>
      </c>
      <c r="H170" s="5" t="s">
        <v>195</v>
      </c>
      <c r="I170" s="5" t="s">
        <v>259</v>
      </c>
      <c r="J170" s="5" t="s">
        <v>208</v>
      </c>
      <c r="K170" s="5" t="s">
        <v>209</v>
      </c>
      <c r="L170" s="31">
        <f t="shared" si="95"/>
        <v>20714</v>
      </c>
      <c r="M170" s="5" t="s">
        <v>198</v>
      </c>
      <c r="N170" s="22" t="s">
        <v>155</v>
      </c>
      <c r="O170" s="100">
        <v>38425</v>
      </c>
      <c r="P170" s="146">
        <f>VLOOKUP(I170,'Job Codes'!$B$2:$I$120,4,FALSE)</f>
        <v>33000</v>
      </c>
      <c r="Q170" s="146">
        <f>VLOOKUP(I170,'Job Codes'!$B$2:$I$120,5,FALSE)</f>
        <v>42900</v>
      </c>
      <c r="R170" s="146">
        <f>VLOOKUP(I170,'Job Codes'!$B$2:$I$120,6,FALSE)</f>
        <v>51480</v>
      </c>
      <c r="S170" s="22" t="s">
        <v>171</v>
      </c>
      <c r="T170" s="146">
        <v>31990</v>
      </c>
      <c r="U170" s="8">
        <f>VLOOKUP(S170,Data!$H$22:$I$25,2,FALSE)*T170</f>
        <v>31990</v>
      </c>
      <c r="V170" s="180">
        <f t="shared" si="96"/>
        <v>0.74568764568764567</v>
      </c>
      <c r="W170" s="180">
        <f t="shared" si="97"/>
        <v>0.34104407627383559</v>
      </c>
      <c r="X170" s="22" t="str">
        <f t="shared" si="98"/>
        <v>Yes</v>
      </c>
      <c r="Y170" s="180">
        <f t="shared" si="99"/>
        <v>0.02</v>
      </c>
      <c r="Z170" s="146">
        <f t="shared" si="100"/>
        <v>639.80000000000007</v>
      </c>
      <c r="AA170" s="146">
        <f t="shared" si="101"/>
        <v>639.80000000000007</v>
      </c>
      <c r="AB170" s="72"/>
      <c r="AC170" s="146">
        <f>AB170/VLOOKUP(S170,Data!$H$22:$I$25,2,FALSE)</f>
        <v>0</v>
      </c>
      <c r="AD170" s="22" t="s">
        <v>157</v>
      </c>
      <c r="AE170" s="146">
        <f>VLOOKUP(S170,Data!$H$22:$J$25,3,FALSE)*T170</f>
        <v>959.69999999999993</v>
      </c>
      <c r="AF170" s="8">
        <f>VLOOKUP(S170,Data!$H$22:$I$25,2,FALSE)*AE170</f>
        <v>959.69999999999993</v>
      </c>
      <c r="AG170" s="8" t="s">
        <v>178</v>
      </c>
      <c r="AH170" s="23">
        <v>2.5000000000000001E-2</v>
      </c>
      <c r="AI170" s="72"/>
      <c r="AJ170" s="159">
        <f t="shared" si="102"/>
        <v>2.5000000000000001E-2</v>
      </c>
      <c r="AK170" s="168">
        <f t="shared" si="135"/>
        <v>799.75</v>
      </c>
      <c r="AL170" s="160">
        <f t="shared" si="136"/>
        <v>799.75</v>
      </c>
      <c r="AM170" s="168">
        <f t="shared" si="103"/>
        <v>32789.75</v>
      </c>
      <c r="AN170" s="160">
        <f t="shared" si="104"/>
        <v>32789.75</v>
      </c>
      <c r="AO170" s="160" t="str">
        <f t="shared" si="137"/>
        <v>No</v>
      </c>
      <c r="AP170" s="146">
        <f>IF(AQ170=0,0,AQ170/VLOOKUP(S170,Data!$H$22:$I$25,2,FALSE))</f>
        <v>0</v>
      </c>
      <c r="AQ170" s="183">
        <f t="shared" si="105"/>
        <v>0</v>
      </c>
      <c r="AR170" s="165">
        <f t="shared" si="106"/>
        <v>799.75</v>
      </c>
      <c r="AS170" s="183">
        <f t="shared" si="107"/>
        <v>799.75</v>
      </c>
      <c r="AT170" s="250">
        <f t="shared" si="108"/>
        <v>2.5000000000000001E-2</v>
      </c>
      <c r="AU170" s="146">
        <f t="shared" si="109"/>
        <v>32789.75</v>
      </c>
      <c r="AV170" s="8">
        <f t="shared" si="110"/>
        <v>32789.75</v>
      </c>
      <c r="AW170" s="8" t="str">
        <f t="shared" si="111"/>
        <v/>
      </c>
      <c r="AX170" s="180">
        <f t="shared" si="112"/>
        <v>0.7643298368298368</v>
      </c>
      <c r="AY170" s="146">
        <f t="shared" si="113"/>
        <v>0</v>
      </c>
      <c r="AZ170" s="146">
        <f t="shared" si="114"/>
        <v>0</v>
      </c>
      <c r="BA170" s="22" t="s">
        <v>159</v>
      </c>
      <c r="BB170" s="149"/>
      <c r="BC170" s="149"/>
      <c r="BD170" s="144"/>
      <c r="BE170" s="146" t="str">
        <f t="shared" si="115"/>
        <v/>
      </c>
      <c r="BF170" s="8" t="str">
        <f t="shared" si="116"/>
        <v/>
      </c>
      <c r="BG170" s="8" t="str">
        <f>IF(LEN(BC170)&gt;0,VLOOKUP(BC170,'Job Codes'!B163:I281,7,FALSE),"")</f>
        <v/>
      </c>
      <c r="BH170" s="192" t="str">
        <f>IF(LEN(BC170)&gt;0,VLOOKUP(BC170,'Job Codes'!B163:I281,8,FALSE),"")</f>
        <v/>
      </c>
      <c r="BI170" s="192" t="str">
        <f>IF(LEN(BC170)&gt;0,VLOOKUP(BC170,'Job Codes'!$B$2:$J$120,9,FALSE),"")</f>
        <v/>
      </c>
      <c r="BJ170" s="146" t="str">
        <f>IF(LEN(BC170)&gt;0,VLOOKUP(BC170,'Job Codes'!$B$2:$I$120,4,FALSE),"")</f>
        <v/>
      </c>
      <c r="BK170" s="146" t="str">
        <f>IF(LEN(BC170)&gt;0,VLOOKUP(BC170,'Job Codes'!$B$2:$I$120,5,FALSE),"")</f>
        <v/>
      </c>
      <c r="BL170" s="146" t="str">
        <f>IF(LEN(BC170)&gt;0,VLOOKUP(BC170,'Job Codes'!$B$2:$I$120,6,FALSE),"")</f>
        <v/>
      </c>
      <c r="BM170" s="168">
        <f t="shared" si="117"/>
        <v>32789.75</v>
      </c>
      <c r="BN170" s="160">
        <f t="shared" si="118"/>
        <v>32789.75</v>
      </c>
      <c r="BO170" s="22" t="s">
        <v>157</v>
      </c>
      <c r="BP170" s="157">
        <f>VLOOKUP(I170,'Job Codes'!$B$2:$I$120,8,FALSE)</f>
        <v>0.1</v>
      </c>
      <c r="BQ170" s="25" t="str">
        <f>IF(O170&gt;Data!$H$33,"Yes","No")</f>
        <v>No</v>
      </c>
      <c r="BR170" s="191">
        <v>0.1</v>
      </c>
      <c r="BS170" s="150">
        <f t="shared" si="119"/>
        <v>3199</v>
      </c>
      <c r="BT170" s="25">
        <f t="shared" si="120"/>
        <v>3199</v>
      </c>
      <c r="BU170" s="161">
        <v>1</v>
      </c>
      <c r="BV170" s="168">
        <f t="shared" si="121"/>
        <v>3199</v>
      </c>
      <c r="BW170" s="160">
        <f t="shared" si="122"/>
        <v>3199</v>
      </c>
      <c r="BX170" s="149"/>
      <c r="BY170" s="32">
        <f t="shared" si="123"/>
        <v>0</v>
      </c>
      <c r="BZ170" s="22" t="s">
        <v>157</v>
      </c>
      <c r="CA170" s="231">
        <f>VLOOKUP(I170,'Job Codes'!$B$2:$J$120,9,FALSE)</f>
        <v>0.1</v>
      </c>
      <c r="CB170" s="253">
        <f t="shared" si="124"/>
        <v>3199</v>
      </c>
      <c r="CC170" s="72"/>
      <c r="CD170" s="25" t="str">
        <f t="shared" si="125"/>
        <v>Meets</v>
      </c>
      <c r="CE170" s="27"/>
      <c r="CF170" s="27"/>
      <c r="CG170" s="27"/>
      <c r="CH170" s="27"/>
      <c r="CI170" s="27"/>
      <c r="CJ170" s="3"/>
      <c r="CK170" s="3"/>
      <c r="CL170" s="3">
        <v>4569</v>
      </c>
      <c r="CM170" s="3" t="s">
        <v>161</v>
      </c>
      <c r="CN170" s="3">
        <v>4571</v>
      </c>
      <c r="CO170" s="3" t="s">
        <v>162</v>
      </c>
      <c r="CP170" s="3">
        <v>12345</v>
      </c>
      <c r="CQ170" s="3" t="s">
        <v>163</v>
      </c>
      <c r="CR170" s="246" t="s">
        <v>179</v>
      </c>
      <c r="CS170" s="247" t="s">
        <v>180</v>
      </c>
      <c r="CT170" s="246" t="s">
        <v>199</v>
      </c>
      <c r="CU170" s="247" t="s">
        <v>200</v>
      </c>
      <c r="CV170" s="3" t="str">
        <f t="shared" si="126"/>
        <v>90876;36523</v>
      </c>
      <c r="CW170" s="3" t="s">
        <v>168</v>
      </c>
      <c r="CX170" s="3" t="str">
        <f t="shared" si="127"/>
        <v>;;BB170:BD170;;</v>
      </c>
      <c r="CY170" s="5" t="str">
        <f t="shared" si="128"/>
        <v>Unlock</v>
      </c>
      <c r="CZ170" s="5" t="str">
        <f t="shared" si="129"/>
        <v>Lock</v>
      </c>
      <c r="DA170" s="5" t="str">
        <f t="shared" si="130"/>
        <v>Lock</v>
      </c>
      <c r="DB170" s="5" t="str">
        <f t="shared" si="131"/>
        <v>Lock</v>
      </c>
      <c r="DC170" s="5" t="str">
        <f t="shared" si="132"/>
        <v>Lock</v>
      </c>
      <c r="DD170" s="78">
        <f t="shared" si="133"/>
        <v>3</v>
      </c>
      <c r="DE170" s="2"/>
      <c r="DF170" s="2"/>
      <c r="DG170" s="2"/>
      <c r="DH170" s="2"/>
      <c r="DI170" s="2"/>
      <c r="DJ170" s="2"/>
      <c r="DK170" s="5"/>
      <c r="DL170" s="2"/>
      <c r="DM170" s="2"/>
      <c r="DN170" s="2"/>
      <c r="DO170" s="2"/>
      <c r="DP170" s="2"/>
      <c r="DQ170" s="2"/>
      <c r="DR170" s="2"/>
      <c r="DS170" s="2"/>
      <c r="DT170" s="2"/>
      <c r="DU170" s="2"/>
      <c r="DV170" s="2"/>
      <c r="DW170" s="2"/>
      <c r="DX170" s="2"/>
      <c r="DY170" s="2"/>
      <c r="DZ170" s="2"/>
      <c r="EA170" s="2"/>
      <c r="EB170" s="2"/>
      <c r="EC170" s="2"/>
      <c r="ED170" s="2"/>
      <c r="EE170" s="2"/>
      <c r="EF170" s="1"/>
      <c r="EG170" s="98"/>
      <c r="EH170" s="98"/>
      <c r="EI170" s="1"/>
      <c r="EJ170" s="1"/>
      <c r="EK170" s="98"/>
      <c r="EL170" s="1"/>
    </row>
    <row r="171" spans="1:142">
      <c r="A171" s="32">
        <f t="shared" si="92"/>
        <v>10881</v>
      </c>
      <c r="B171" s="3" t="str">
        <f t="shared" si="93"/>
        <v>sv_statement//Statement//Export Statement&amp;PDFID=Shelly Blakey_10881&amp;SO=Y</v>
      </c>
      <c r="C171" s="5" t="str">
        <f t="shared" si="134"/>
        <v>Statement</v>
      </c>
      <c r="D171" s="5" t="str">
        <f t="shared" si="94"/>
        <v>Shelly Blakey_10881</v>
      </c>
      <c r="E171" s="5"/>
      <c r="F171" s="5">
        <v>10881</v>
      </c>
      <c r="G171" s="22" t="s">
        <v>471</v>
      </c>
      <c r="H171" s="5" t="s">
        <v>195</v>
      </c>
      <c r="I171" s="5" t="s">
        <v>293</v>
      </c>
      <c r="J171" s="5" t="s">
        <v>208</v>
      </c>
      <c r="K171" s="5" t="s">
        <v>209</v>
      </c>
      <c r="L171" s="31">
        <f t="shared" si="95"/>
        <v>20714</v>
      </c>
      <c r="M171" s="5" t="s">
        <v>198</v>
      </c>
      <c r="N171" s="22" t="s">
        <v>155</v>
      </c>
      <c r="O171" s="100">
        <v>38432</v>
      </c>
      <c r="P171" s="146">
        <f>VLOOKUP(I171,'Job Codes'!$B$2:$I$120,4,FALSE)</f>
        <v>33000</v>
      </c>
      <c r="Q171" s="146">
        <f>VLOOKUP(I171,'Job Codes'!$B$2:$I$120,5,FALSE)</f>
        <v>42900</v>
      </c>
      <c r="R171" s="146">
        <f>VLOOKUP(I171,'Job Codes'!$B$2:$I$120,6,FALSE)</f>
        <v>51480</v>
      </c>
      <c r="S171" s="22" t="s">
        <v>171</v>
      </c>
      <c r="T171" s="146">
        <v>28642</v>
      </c>
      <c r="U171" s="8">
        <f>VLOOKUP(S171,Data!$H$22:$I$25,2,FALSE)*T171</f>
        <v>28642</v>
      </c>
      <c r="V171" s="180">
        <f t="shared" si="96"/>
        <v>0.66764568764568766</v>
      </c>
      <c r="W171" s="180">
        <f t="shared" si="97"/>
        <v>0.49780043293066129</v>
      </c>
      <c r="X171" s="22" t="str">
        <f t="shared" si="98"/>
        <v>Yes</v>
      </c>
      <c r="Y171" s="180">
        <f t="shared" si="99"/>
        <v>0.02</v>
      </c>
      <c r="Z171" s="146">
        <f t="shared" si="100"/>
        <v>572.84</v>
      </c>
      <c r="AA171" s="146">
        <f t="shared" si="101"/>
        <v>572.84</v>
      </c>
      <c r="AB171" s="72"/>
      <c r="AC171" s="146">
        <f>AB171/VLOOKUP(S171,Data!$H$22:$I$25,2,FALSE)</f>
        <v>0</v>
      </c>
      <c r="AD171" s="22" t="s">
        <v>157</v>
      </c>
      <c r="AE171" s="146">
        <f>VLOOKUP(S171,Data!$H$22:$J$25,3,FALSE)*T171</f>
        <v>859.26</v>
      </c>
      <c r="AF171" s="8">
        <f>VLOOKUP(S171,Data!$H$22:$I$25,2,FALSE)*AE171</f>
        <v>859.26</v>
      </c>
      <c r="AG171" s="8" t="s">
        <v>178</v>
      </c>
      <c r="AH171" s="23">
        <v>2.5000000000000001E-2</v>
      </c>
      <c r="AI171" s="72"/>
      <c r="AJ171" s="159">
        <f t="shared" si="102"/>
        <v>2.5000000000000001E-2</v>
      </c>
      <c r="AK171" s="168">
        <f t="shared" si="135"/>
        <v>716.05000000000007</v>
      </c>
      <c r="AL171" s="160">
        <f t="shared" si="136"/>
        <v>716.05000000000007</v>
      </c>
      <c r="AM171" s="168">
        <f t="shared" si="103"/>
        <v>29358.05</v>
      </c>
      <c r="AN171" s="160">
        <f t="shared" si="104"/>
        <v>29358.05</v>
      </c>
      <c r="AO171" s="160" t="str">
        <f t="shared" si="137"/>
        <v>No</v>
      </c>
      <c r="AP171" s="146">
        <f>IF(AQ171=0,0,AQ171/VLOOKUP(S171,Data!$H$22:$I$25,2,FALSE))</f>
        <v>0</v>
      </c>
      <c r="AQ171" s="183">
        <f t="shared" si="105"/>
        <v>0</v>
      </c>
      <c r="AR171" s="165">
        <f t="shared" si="106"/>
        <v>716.05000000000007</v>
      </c>
      <c r="AS171" s="183">
        <f t="shared" si="107"/>
        <v>716.05000000000007</v>
      </c>
      <c r="AT171" s="250">
        <f t="shared" si="108"/>
        <v>2.5000000000000001E-2</v>
      </c>
      <c r="AU171" s="146">
        <f t="shared" si="109"/>
        <v>29358.05</v>
      </c>
      <c r="AV171" s="8">
        <f t="shared" si="110"/>
        <v>29358.05</v>
      </c>
      <c r="AW171" s="8" t="str">
        <f t="shared" si="111"/>
        <v/>
      </c>
      <c r="AX171" s="180">
        <f t="shared" si="112"/>
        <v>0.68433682983682986</v>
      </c>
      <c r="AY171" s="146">
        <f t="shared" si="113"/>
        <v>0</v>
      </c>
      <c r="AZ171" s="146">
        <f t="shared" si="114"/>
        <v>0</v>
      </c>
      <c r="BA171" s="22" t="s">
        <v>159</v>
      </c>
      <c r="BB171" s="149"/>
      <c r="BC171" s="149"/>
      <c r="BD171" s="144"/>
      <c r="BE171" s="146" t="str">
        <f t="shared" si="115"/>
        <v/>
      </c>
      <c r="BF171" s="8" t="str">
        <f t="shared" si="116"/>
        <v/>
      </c>
      <c r="BG171" s="8" t="str">
        <f>IF(LEN(BC171)&gt;0,VLOOKUP(BC171,'Job Codes'!B164:I282,7,FALSE),"")</f>
        <v/>
      </c>
      <c r="BH171" s="192" t="str">
        <f>IF(LEN(BC171)&gt;0,VLOOKUP(BC171,'Job Codes'!B164:I282,8,FALSE),"")</f>
        <v/>
      </c>
      <c r="BI171" s="192" t="str">
        <f>IF(LEN(BC171)&gt;0,VLOOKUP(BC171,'Job Codes'!$B$2:$J$120,9,FALSE),"")</f>
        <v/>
      </c>
      <c r="BJ171" s="146" t="str">
        <f>IF(LEN(BC171)&gt;0,VLOOKUP(BC171,'Job Codes'!$B$2:$I$120,4,FALSE),"")</f>
        <v/>
      </c>
      <c r="BK171" s="146" t="str">
        <f>IF(LEN(BC171)&gt;0,VLOOKUP(BC171,'Job Codes'!$B$2:$I$120,5,FALSE),"")</f>
        <v/>
      </c>
      <c r="BL171" s="146" t="str">
        <f>IF(LEN(BC171)&gt;0,VLOOKUP(BC171,'Job Codes'!$B$2:$I$120,6,FALSE),"")</f>
        <v/>
      </c>
      <c r="BM171" s="168">
        <f t="shared" si="117"/>
        <v>29358.05</v>
      </c>
      <c r="BN171" s="160">
        <f t="shared" si="118"/>
        <v>29358.05</v>
      </c>
      <c r="BO171" s="22" t="s">
        <v>157</v>
      </c>
      <c r="BP171" s="157">
        <f>VLOOKUP(I171,'Job Codes'!$B$2:$I$120,8,FALSE)</f>
        <v>0.1</v>
      </c>
      <c r="BQ171" s="25" t="str">
        <f>IF(O171&gt;Data!$H$33,"Yes","No")</f>
        <v>No</v>
      </c>
      <c r="BR171" s="191">
        <v>0.1</v>
      </c>
      <c r="BS171" s="150">
        <f t="shared" si="119"/>
        <v>2864.2000000000003</v>
      </c>
      <c r="BT171" s="25">
        <f t="shared" si="120"/>
        <v>2864.2000000000003</v>
      </c>
      <c r="BU171" s="161">
        <v>1</v>
      </c>
      <c r="BV171" s="168">
        <f t="shared" si="121"/>
        <v>2864.2000000000003</v>
      </c>
      <c r="BW171" s="160">
        <f t="shared" si="122"/>
        <v>2864.2000000000003</v>
      </c>
      <c r="BX171" s="149"/>
      <c r="BY171" s="32">
        <f t="shared" si="123"/>
        <v>0</v>
      </c>
      <c r="BZ171" s="22" t="s">
        <v>157</v>
      </c>
      <c r="CA171" s="231">
        <f>VLOOKUP(I171,'Job Codes'!$B$2:$J$120,9,FALSE)</f>
        <v>0.1</v>
      </c>
      <c r="CB171" s="253">
        <f t="shared" si="124"/>
        <v>2864.2000000000003</v>
      </c>
      <c r="CC171" s="72"/>
      <c r="CD171" s="25" t="str">
        <f t="shared" si="125"/>
        <v>Meets</v>
      </c>
      <c r="CE171" s="27"/>
      <c r="CF171" s="27"/>
      <c r="CG171" s="27"/>
      <c r="CH171" s="27"/>
      <c r="CI171" s="27"/>
      <c r="CJ171" s="3"/>
      <c r="CK171" s="3"/>
      <c r="CL171" s="3">
        <v>4569</v>
      </c>
      <c r="CM171" s="3" t="s">
        <v>161</v>
      </c>
      <c r="CN171" s="3">
        <v>4571</v>
      </c>
      <c r="CO171" s="3" t="s">
        <v>162</v>
      </c>
      <c r="CP171" s="3">
        <v>12345</v>
      </c>
      <c r="CQ171" s="3" t="s">
        <v>163</v>
      </c>
      <c r="CR171" s="246" t="s">
        <v>179</v>
      </c>
      <c r="CS171" s="247" t="s">
        <v>180</v>
      </c>
      <c r="CT171" s="246" t="s">
        <v>199</v>
      </c>
      <c r="CU171" s="247" t="s">
        <v>200</v>
      </c>
      <c r="CV171" s="3" t="str">
        <f t="shared" si="126"/>
        <v>90876;36523</v>
      </c>
      <c r="CW171" s="3" t="s">
        <v>168</v>
      </c>
      <c r="CX171" s="3" t="str">
        <f t="shared" si="127"/>
        <v>;;BB171:BD171;;</v>
      </c>
      <c r="CY171" s="5" t="str">
        <f t="shared" si="128"/>
        <v>Unlock</v>
      </c>
      <c r="CZ171" s="5" t="str">
        <f t="shared" si="129"/>
        <v>Lock</v>
      </c>
      <c r="DA171" s="5" t="str">
        <f t="shared" si="130"/>
        <v>Lock</v>
      </c>
      <c r="DB171" s="5" t="str">
        <f t="shared" si="131"/>
        <v>Lock</v>
      </c>
      <c r="DC171" s="5" t="str">
        <f t="shared" si="132"/>
        <v>Lock</v>
      </c>
      <c r="DD171" s="78">
        <f t="shared" si="133"/>
        <v>3</v>
      </c>
      <c r="DE171" s="2"/>
      <c r="DF171" s="2"/>
      <c r="DG171" s="2"/>
      <c r="DH171" s="2"/>
      <c r="DI171" s="2"/>
      <c r="DJ171" s="2"/>
      <c r="DK171" s="5"/>
      <c r="DL171" s="2"/>
      <c r="DM171" s="2"/>
      <c r="DN171" s="2"/>
      <c r="DO171" s="2"/>
      <c r="DP171" s="2"/>
      <c r="DQ171" s="2"/>
      <c r="DR171" s="2"/>
      <c r="DS171" s="2"/>
      <c r="DT171" s="2"/>
      <c r="DU171" s="2"/>
      <c r="DV171" s="2"/>
      <c r="DW171" s="2"/>
      <c r="DX171" s="2"/>
      <c r="DY171" s="2"/>
      <c r="DZ171" s="2"/>
      <c r="EA171" s="2"/>
      <c r="EB171" s="2"/>
      <c r="EC171" s="2"/>
      <c r="ED171" s="2"/>
      <c r="EE171" s="2"/>
      <c r="EF171" s="1"/>
      <c r="EG171" s="98"/>
      <c r="EH171" s="98"/>
      <c r="EI171" s="1"/>
      <c r="EJ171" s="1"/>
      <c r="EK171" s="98"/>
      <c r="EL171" s="1"/>
    </row>
    <row r="172" spans="1:142">
      <c r="A172" s="32">
        <f t="shared" si="92"/>
        <v>10997</v>
      </c>
      <c r="B172" s="3" t="str">
        <f t="shared" si="93"/>
        <v>sv_statement//Statement//Export Statement&amp;PDFID=Chad Coney_10997&amp;SO=Y</v>
      </c>
      <c r="C172" s="5" t="str">
        <f t="shared" si="134"/>
        <v>Statement</v>
      </c>
      <c r="D172" s="5" t="str">
        <f t="shared" si="94"/>
        <v>Chad Coney_10997</v>
      </c>
      <c r="E172" s="5"/>
      <c r="F172" s="5">
        <v>10997</v>
      </c>
      <c r="G172" s="22" t="s">
        <v>472</v>
      </c>
      <c r="H172" s="5" t="s">
        <v>195</v>
      </c>
      <c r="I172" s="5" t="s">
        <v>473</v>
      </c>
      <c r="J172" s="5" t="s">
        <v>208</v>
      </c>
      <c r="K172" s="5" t="s">
        <v>209</v>
      </c>
      <c r="L172" s="31">
        <f t="shared" si="95"/>
        <v>20714</v>
      </c>
      <c r="M172" s="5" t="s">
        <v>198</v>
      </c>
      <c r="N172" s="22" t="s">
        <v>155</v>
      </c>
      <c r="O172" s="100">
        <v>38443</v>
      </c>
      <c r="P172" s="146">
        <f>VLOOKUP(I172,'Job Codes'!$B$2:$I$120,4,FALSE)</f>
        <v>33000</v>
      </c>
      <c r="Q172" s="146">
        <f>VLOOKUP(I172,'Job Codes'!$B$2:$I$120,5,FALSE)</f>
        <v>42900</v>
      </c>
      <c r="R172" s="146">
        <f>VLOOKUP(I172,'Job Codes'!$B$2:$I$120,6,FALSE)</f>
        <v>51480</v>
      </c>
      <c r="S172" s="22" t="s">
        <v>171</v>
      </c>
      <c r="T172" s="146">
        <v>42765</v>
      </c>
      <c r="U172" s="8">
        <f>VLOOKUP(S172,Data!$H$22:$I$25,2,FALSE)*T172</f>
        <v>42765</v>
      </c>
      <c r="V172" s="180">
        <f t="shared" si="96"/>
        <v>0.99685314685314685</v>
      </c>
      <c r="W172" s="180">
        <f t="shared" si="97"/>
        <v>3.1567870922483338E-3</v>
      </c>
      <c r="X172" s="22" t="str">
        <f t="shared" si="98"/>
        <v>No</v>
      </c>
      <c r="Y172" s="180">
        <f t="shared" si="99"/>
        <v>0</v>
      </c>
      <c r="Z172" s="146">
        <f t="shared" si="100"/>
        <v>0</v>
      </c>
      <c r="AA172" s="146">
        <f t="shared" si="101"/>
        <v>0</v>
      </c>
      <c r="AB172" s="72"/>
      <c r="AC172" s="146">
        <f>AB172/VLOOKUP(S172,Data!$H$22:$I$25,2,FALSE)</f>
        <v>0</v>
      </c>
      <c r="AD172" s="22" t="s">
        <v>157</v>
      </c>
      <c r="AE172" s="146">
        <f>VLOOKUP(S172,Data!$H$22:$J$25,3,FALSE)*T172</f>
        <v>1282.95</v>
      </c>
      <c r="AF172" s="8">
        <f>VLOOKUP(S172,Data!$H$22:$I$25,2,FALSE)*AE172</f>
        <v>1282.95</v>
      </c>
      <c r="AG172" s="8" t="s">
        <v>178</v>
      </c>
      <c r="AH172" s="23">
        <v>2.5000000000000001E-2</v>
      </c>
      <c r="AI172" s="72"/>
      <c r="AJ172" s="159">
        <f t="shared" si="102"/>
        <v>2.5000000000000001E-2</v>
      </c>
      <c r="AK172" s="168">
        <f t="shared" si="135"/>
        <v>1069.125</v>
      </c>
      <c r="AL172" s="160">
        <f t="shared" si="136"/>
        <v>1069.125</v>
      </c>
      <c r="AM172" s="168">
        <f t="shared" si="103"/>
        <v>43834.125</v>
      </c>
      <c r="AN172" s="160">
        <f t="shared" si="104"/>
        <v>43834.125</v>
      </c>
      <c r="AO172" s="160" t="str">
        <f t="shared" si="137"/>
        <v>No</v>
      </c>
      <c r="AP172" s="146">
        <f>IF(AQ172=0,0,AQ172/VLOOKUP(S172,Data!$H$22:$I$25,2,FALSE))</f>
        <v>0</v>
      </c>
      <c r="AQ172" s="183">
        <f t="shared" si="105"/>
        <v>0</v>
      </c>
      <c r="AR172" s="165">
        <f t="shared" si="106"/>
        <v>1069.125</v>
      </c>
      <c r="AS172" s="183">
        <f t="shared" si="107"/>
        <v>1069.125</v>
      </c>
      <c r="AT172" s="250">
        <f t="shared" si="108"/>
        <v>2.5000000000000001E-2</v>
      </c>
      <c r="AU172" s="146">
        <f t="shared" si="109"/>
        <v>43834.125</v>
      </c>
      <c r="AV172" s="8">
        <f t="shared" si="110"/>
        <v>43834.125</v>
      </c>
      <c r="AW172" s="8" t="str">
        <f t="shared" si="111"/>
        <v/>
      </c>
      <c r="AX172" s="180">
        <f t="shared" si="112"/>
        <v>1.0217744755244755</v>
      </c>
      <c r="AY172" s="146">
        <f t="shared" si="113"/>
        <v>0</v>
      </c>
      <c r="AZ172" s="146">
        <f t="shared" si="114"/>
        <v>0</v>
      </c>
      <c r="BA172" s="22" t="s">
        <v>159</v>
      </c>
      <c r="BB172" s="149"/>
      <c r="BC172" s="149"/>
      <c r="BD172" s="144"/>
      <c r="BE172" s="146" t="str">
        <f t="shared" si="115"/>
        <v/>
      </c>
      <c r="BF172" s="8" t="str">
        <f t="shared" si="116"/>
        <v/>
      </c>
      <c r="BG172" s="8" t="str">
        <f>IF(LEN(BC172)&gt;0,VLOOKUP(BC172,'Job Codes'!B165:I283,7,FALSE),"")</f>
        <v/>
      </c>
      <c r="BH172" s="192" t="str">
        <f>IF(LEN(BC172)&gt;0,VLOOKUP(BC172,'Job Codes'!B165:I283,8,FALSE),"")</f>
        <v/>
      </c>
      <c r="BI172" s="192" t="str">
        <f>IF(LEN(BC172)&gt;0,VLOOKUP(BC172,'Job Codes'!$B$2:$J$120,9,FALSE),"")</f>
        <v/>
      </c>
      <c r="BJ172" s="146" t="str">
        <f>IF(LEN(BC172)&gt;0,VLOOKUP(BC172,'Job Codes'!$B$2:$I$120,4,FALSE),"")</f>
        <v/>
      </c>
      <c r="BK172" s="146" t="str">
        <f>IF(LEN(BC172)&gt;0,VLOOKUP(BC172,'Job Codes'!$B$2:$I$120,5,FALSE),"")</f>
        <v/>
      </c>
      <c r="BL172" s="146" t="str">
        <f>IF(LEN(BC172)&gt;0,VLOOKUP(BC172,'Job Codes'!$B$2:$I$120,6,FALSE),"")</f>
        <v/>
      </c>
      <c r="BM172" s="168">
        <f t="shared" si="117"/>
        <v>43834.125</v>
      </c>
      <c r="BN172" s="160">
        <f t="shared" si="118"/>
        <v>43834.125</v>
      </c>
      <c r="BO172" s="22" t="s">
        <v>157</v>
      </c>
      <c r="BP172" s="157">
        <f>VLOOKUP(I172,'Job Codes'!$B$2:$I$120,8,FALSE)</f>
        <v>0.1</v>
      </c>
      <c r="BQ172" s="25" t="str">
        <f>IF(O172&gt;Data!$H$33,"Yes","No")</f>
        <v>No</v>
      </c>
      <c r="BR172" s="191">
        <v>0.1</v>
      </c>
      <c r="BS172" s="150">
        <f t="shared" si="119"/>
        <v>4276.5</v>
      </c>
      <c r="BT172" s="25">
        <f t="shared" si="120"/>
        <v>4276.5</v>
      </c>
      <c r="BU172" s="161">
        <v>1</v>
      </c>
      <c r="BV172" s="168">
        <f t="shared" si="121"/>
        <v>4276.5</v>
      </c>
      <c r="BW172" s="160">
        <f t="shared" si="122"/>
        <v>4276.5</v>
      </c>
      <c r="BX172" s="149"/>
      <c r="BY172" s="32">
        <f t="shared" si="123"/>
        <v>0</v>
      </c>
      <c r="BZ172" s="22" t="s">
        <v>157</v>
      </c>
      <c r="CA172" s="231">
        <f>VLOOKUP(I172,'Job Codes'!$B$2:$J$120,9,FALSE)</f>
        <v>0.1</v>
      </c>
      <c r="CB172" s="253">
        <f t="shared" si="124"/>
        <v>4276.5</v>
      </c>
      <c r="CC172" s="72"/>
      <c r="CD172" s="25" t="str">
        <f t="shared" si="125"/>
        <v>Meets</v>
      </c>
      <c r="CE172" s="27"/>
      <c r="CF172" s="27"/>
      <c r="CG172" s="27"/>
      <c r="CH172" s="27"/>
      <c r="CI172" s="27"/>
      <c r="CJ172" s="3"/>
      <c r="CK172" s="3"/>
      <c r="CL172" s="3">
        <v>4569</v>
      </c>
      <c r="CM172" s="3" t="s">
        <v>161</v>
      </c>
      <c r="CN172" s="3">
        <v>4571</v>
      </c>
      <c r="CO172" s="3" t="s">
        <v>162</v>
      </c>
      <c r="CP172" s="3">
        <v>12345</v>
      </c>
      <c r="CQ172" s="3" t="s">
        <v>163</v>
      </c>
      <c r="CR172" s="246" t="s">
        <v>179</v>
      </c>
      <c r="CS172" s="247" t="s">
        <v>180</v>
      </c>
      <c r="CT172" s="246" t="s">
        <v>199</v>
      </c>
      <c r="CU172" s="247" t="s">
        <v>200</v>
      </c>
      <c r="CV172" s="3" t="str">
        <f t="shared" si="126"/>
        <v>90876;36523</v>
      </c>
      <c r="CW172" s="3" t="s">
        <v>168</v>
      </c>
      <c r="CX172" s="3" t="str">
        <f t="shared" si="127"/>
        <v>AB172;;BB172:BD172;;</v>
      </c>
      <c r="CY172" s="5" t="str">
        <f t="shared" si="128"/>
        <v>Unlock</v>
      </c>
      <c r="CZ172" s="5" t="str">
        <f t="shared" si="129"/>
        <v>Lock</v>
      </c>
      <c r="DA172" s="5" t="str">
        <f t="shared" si="130"/>
        <v>Lock</v>
      </c>
      <c r="DB172" s="5" t="str">
        <f t="shared" si="131"/>
        <v>Lock</v>
      </c>
      <c r="DC172" s="5" t="str">
        <f t="shared" si="132"/>
        <v>Lock</v>
      </c>
      <c r="DD172" s="78">
        <f t="shared" si="133"/>
        <v>3</v>
      </c>
      <c r="DE172" s="2"/>
      <c r="DF172" s="2"/>
      <c r="DG172" s="2"/>
      <c r="DH172" s="2"/>
      <c r="DI172" s="2"/>
      <c r="DJ172" s="2"/>
      <c r="DK172" s="5"/>
      <c r="DL172" s="2"/>
      <c r="DM172" s="2"/>
      <c r="DN172" s="2"/>
      <c r="DO172" s="2"/>
      <c r="DP172" s="2"/>
      <c r="DQ172" s="2"/>
      <c r="DR172" s="2"/>
      <c r="DS172" s="2"/>
      <c r="DT172" s="2"/>
      <c r="DU172" s="2"/>
      <c r="DV172" s="2"/>
      <c r="DW172" s="2"/>
      <c r="DX172" s="2"/>
      <c r="DY172" s="2"/>
      <c r="DZ172" s="2"/>
      <c r="EA172" s="2"/>
      <c r="EB172" s="2"/>
      <c r="EC172" s="2"/>
      <c r="ED172" s="2"/>
      <c r="EE172" s="2"/>
      <c r="EF172" s="1"/>
      <c r="EG172" s="98"/>
      <c r="EH172" s="98"/>
      <c r="EI172" s="1"/>
      <c r="EJ172" s="1"/>
      <c r="EK172" s="98"/>
      <c r="EL172" s="1"/>
    </row>
    <row r="173" spans="1:142">
      <c r="A173" s="32">
        <f t="shared" si="92"/>
        <v>11076</v>
      </c>
      <c r="B173" s="3" t="str">
        <f t="shared" si="93"/>
        <v>sv_statement//Statement//Export Statement&amp;PDFID=Antonio Boyer_11076&amp;SO=Y</v>
      </c>
      <c r="C173" s="5" t="str">
        <f t="shared" si="134"/>
        <v>Statement</v>
      </c>
      <c r="D173" s="5" t="str">
        <f t="shared" si="94"/>
        <v>Antonio Boyer_11076</v>
      </c>
      <c r="E173" s="5"/>
      <c r="F173" s="5">
        <v>11076</v>
      </c>
      <c r="G173" s="22" t="s">
        <v>474</v>
      </c>
      <c r="H173" s="5" t="s">
        <v>195</v>
      </c>
      <c r="I173" s="5" t="s">
        <v>246</v>
      </c>
      <c r="J173" s="5" t="s">
        <v>208</v>
      </c>
      <c r="K173" s="5" t="s">
        <v>209</v>
      </c>
      <c r="L173" s="31">
        <f t="shared" si="95"/>
        <v>20714</v>
      </c>
      <c r="M173" s="5" t="s">
        <v>198</v>
      </c>
      <c r="N173" s="22" t="s">
        <v>155</v>
      </c>
      <c r="O173" s="100">
        <v>38446</v>
      </c>
      <c r="P173" s="146">
        <f>VLOOKUP(I173,'Job Codes'!$B$2:$I$120,4,FALSE)</f>
        <v>33000</v>
      </c>
      <c r="Q173" s="146">
        <f>VLOOKUP(I173,'Job Codes'!$B$2:$I$120,5,FALSE)</f>
        <v>42900</v>
      </c>
      <c r="R173" s="146">
        <f>VLOOKUP(I173,'Job Codes'!$B$2:$I$120,6,FALSE)</f>
        <v>51480</v>
      </c>
      <c r="S173" s="22" t="s">
        <v>171</v>
      </c>
      <c r="T173" s="146">
        <v>32947</v>
      </c>
      <c r="U173" s="8">
        <f>VLOOKUP(S173,Data!$H$22:$I$25,2,FALSE)*T173</f>
        <v>32947</v>
      </c>
      <c r="V173" s="180">
        <f t="shared" si="96"/>
        <v>0.76799533799533803</v>
      </c>
      <c r="W173" s="180">
        <f t="shared" si="97"/>
        <v>0.30209123744195221</v>
      </c>
      <c r="X173" s="22" t="str">
        <f t="shared" si="98"/>
        <v>Yes</v>
      </c>
      <c r="Y173" s="180">
        <f t="shared" si="99"/>
        <v>0.02</v>
      </c>
      <c r="Z173" s="146">
        <f t="shared" si="100"/>
        <v>658.94</v>
      </c>
      <c r="AA173" s="146">
        <f t="shared" si="101"/>
        <v>658.94</v>
      </c>
      <c r="AB173" s="72"/>
      <c r="AC173" s="146">
        <f>AB173/VLOOKUP(S173,Data!$H$22:$I$25,2,FALSE)</f>
        <v>0</v>
      </c>
      <c r="AD173" s="22" t="s">
        <v>157</v>
      </c>
      <c r="AE173" s="146">
        <f>VLOOKUP(S173,Data!$H$22:$J$25,3,FALSE)*T173</f>
        <v>988.41</v>
      </c>
      <c r="AF173" s="8">
        <f>VLOOKUP(S173,Data!$H$22:$I$25,2,FALSE)*AE173</f>
        <v>988.41</v>
      </c>
      <c r="AG173" s="8" t="s">
        <v>158</v>
      </c>
      <c r="AH173" s="23">
        <v>0.03</v>
      </c>
      <c r="AI173" s="72"/>
      <c r="AJ173" s="159">
        <f t="shared" si="102"/>
        <v>0.03</v>
      </c>
      <c r="AK173" s="168">
        <f t="shared" si="135"/>
        <v>988.41</v>
      </c>
      <c r="AL173" s="160">
        <f t="shared" si="136"/>
        <v>988.41</v>
      </c>
      <c r="AM173" s="168">
        <f t="shared" si="103"/>
        <v>33935.410000000003</v>
      </c>
      <c r="AN173" s="160">
        <f t="shared" si="104"/>
        <v>33935.410000000003</v>
      </c>
      <c r="AO173" s="160" t="str">
        <f t="shared" si="137"/>
        <v>No</v>
      </c>
      <c r="AP173" s="146">
        <f>IF(AQ173=0,0,AQ173/VLOOKUP(S173,Data!$H$22:$I$25,2,FALSE))</f>
        <v>0</v>
      </c>
      <c r="AQ173" s="183">
        <f t="shared" si="105"/>
        <v>0</v>
      </c>
      <c r="AR173" s="165">
        <f t="shared" si="106"/>
        <v>988.41</v>
      </c>
      <c r="AS173" s="183">
        <f t="shared" si="107"/>
        <v>988.41</v>
      </c>
      <c r="AT173" s="250">
        <f t="shared" si="108"/>
        <v>0.03</v>
      </c>
      <c r="AU173" s="146">
        <f t="shared" si="109"/>
        <v>33935.410000000003</v>
      </c>
      <c r="AV173" s="8">
        <f t="shared" si="110"/>
        <v>33935.410000000003</v>
      </c>
      <c r="AW173" s="8" t="str">
        <f t="shared" si="111"/>
        <v/>
      </c>
      <c r="AX173" s="180">
        <f t="shared" si="112"/>
        <v>0.79103519813519818</v>
      </c>
      <c r="AY173" s="146">
        <f t="shared" si="113"/>
        <v>0</v>
      </c>
      <c r="AZ173" s="146">
        <f t="shared" si="114"/>
        <v>0</v>
      </c>
      <c r="BA173" s="22" t="s">
        <v>159</v>
      </c>
      <c r="BB173" s="149"/>
      <c r="BC173" s="149"/>
      <c r="BD173" s="144"/>
      <c r="BE173" s="146" t="str">
        <f t="shared" si="115"/>
        <v/>
      </c>
      <c r="BF173" s="8" t="str">
        <f t="shared" si="116"/>
        <v/>
      </c>
      <c r="BG173" s="8" t="str">
        <f>IF(LEN(BC173)&gt;0,VLOOKUP(BC173,'Job Codes'!B166:I284,7,FALSE),"")</f>
        <v/>
      </c>
      <c r="BH173" s="192" t="str">
        <f>IF(LEN(BC173)&gt;0,VLOOKUP(BC173,'Job Codes'!B166:I284,8,FALSE),"")</f>
        <v/>
      </c>
      <c r="BI173" s="192" t="str">
        <f>IF(LEN(BC173)&gt;0,VLOOKUP(BC173,'Job Codes'!$B$2:$J$120,9,FALSE),"")</f>
        <v/>
      </c>
      <c r="BJ173" s="146" t="str">
        <f>IF(LEN(BC173)&gt;0,VLOOKUP(BC173,'Job Codes'!$B$2:$I$120,4,FALSE),"")</f>
        <v/>
      </c>
      <c r="BK173" s="146" t="str">
        <f>IF(LEN(BC173)&gt;0,VLOOKUP(BC173,'Job Codes'!$B$2:$I$120,5,FALSE),"")</f>
        <v/>
      </c>
      <c r="BL173" s="146" t="str">
        <f>IF(LEN(BC173)&gt;0,VLOOKUP(BC173,'Job Codes'!$B$2:$I$120,6,FALSE),"")</f>
        <v/>
      </c>
      <c r="BM173" s="168">
        <f t="shared" si="117"/>
        <v>33935.410000000003</v>
      </c>
      <c r="BN173" s="160">
        <f t="shared" si="118"/>
        <v>33935.410000000003</v>
      </c>
      <c r="BO173" s="22" t="s">
        <v>157</v>
      </c>
      <c r="BP173" s="157">
        <f>VLOOKUP(I173,'Job Codes'!$B$2:$I$120,8,FALSE)</f>
        <v>0.1</v>
      </c>
      <c r="BQ173" s="25" t="str">
        <f>IF(O173&gt;Data!$H$33,"Yes","No")</f>
        <v>No</v>
      </c>
      <c r="BR173" s="191">
        <v>0.1</v>
      </c>
      <c r="BS173" s="150">
        <f t="shared" si="119"/>
        <v>3294.7000000000003</v>
      </c>
      <c r="BT173" s="25">
        <f t="shared" si="120"/>
        <v>3294.7000000000003</v>
      </c>
      <c r="BU173" s="161">
        <v>1</v>
      </c>
      <c r="BV173" s="168">
        <f t="shared" si="121"/>
        <v>3294.7000000000003</v>
      </c>
      <c r="BW173" s="160">
        <f t="shared" si="122"/>
        <v>3294.7000000000003</v>
      </c>
      <c r="BX173" s="149"/>
      <c r="BY173" s="32">
        <f t="shared" si="123"/>
        <v>0</v>
      </c>
      <c r="BZ173" s="22" t="s">
        <v>157</v>
      </c>
      <c r="CA173" s="231">
        <f>VLOOKUP(I173,'Job Codes'!$B$2:$J$120,9,FALSE)</f>
        <v>0.1</v>
      </c>
      <c r="CB173" s="253">
        <f t="shared" si="124"/>
        <v>3294.7000000000003</v>
      </c>
      <c r="CC173" s="72"/>
      <c r="CD173" s="25" t="str">
        <f t="shared" si="125"/>
        <v>Exceeds</v>
      </c>
      <c r="CE173" s="27"/>
      <c r="CF173" s="27"/>
      <c r="CG173" s="27"/>
      <c r="CH173" s="27"/>
      <c r="CI173" s="27"/>
      <c r="CJ173" s="3"/>
      <c r="CK173" s="3"/>
      <c r="CL173" s="3">
        <v>4569</v>
      </c>
      <c r="CM173" s="3" t="s">
        <v>161</v>
      </c>
      <c r="CN173" s="3">
        <v>4571</v>
      </c>
      <c r="CO173" s="3" t="s">
        <v>162</v>
      </c>
      <c r="CP173" s="3">
        <v>12345</v>
      </c>
      <c r="CQ173" s="3" t="s">
        <v>163</v>
      </c>
      <c r="CR173" s="246" t="s">
        <v>179</v>
      </c>
      <c r="CS173" s="247" t="s">
        <v>180</v>
      </c>
      <c r="CT173" s="246" t="s">
        <v>199</v>
      </c>
      <c r="CU173" s="247" t="s">
        <v>200</v>
      </c>
      <c r="CV173" s="3" t="str">
        <f t="shared" si="126"/>
        <v>90876;36523</v>
      </c>
      <c r="CW173" s="3" t="s">
        <v>168</v>
      </c>
      <c r="CX173" s="3" t="str">
        <f t="shared" si="127"/>
        <v>;;BB173:BD173;;</v>
      </c>
      <c r="CY173" s="5" t="str">
        <f t="shared" si="128"/>
        <v>Unlock</v>
      </c>
      <c r="CZ173" s="5" t="str">
        <f t="shared" si="129"/>
        <v>Lock</v>
      </c>
      <c r="DA173" s="5" t="str">
        <f t="shared" si="130"/>
        <v>Lock</v>
      </c>
      <c r="DB173" s="5" t="str">
        <f t="shared" si="131"/>
        <v>Lock</v>
      </c>
      <c r="DC173" s="5" t="str">
        <f t="shared" si="132"/>
        <v>Lock</v>
      </c>
      <c r="DD173" s="78">
        <f t="shared" si="133"/>
        <v>3</v>
      </c>
      <c r="DE173" s="2"/>
      <c r="DF173" s="2"/>
      <c r="DG173" s="2"/>
      <c r="DH173" s="2"/>
      <c r="DI173" s="2"/>
      <c r="DJ173" s="2"/>
      <c r="DK173" s="5"/>
      <c r="DL173" s="2"/>
      <c r="DM173" s="2"/>
      <c r="DN173" s="2"/>
      <c r="DO173" s="2"/>
      <c r="DP173" s="2"/>
      <c r="DQ173" s="2"/>
      <c r="DR173" s="2"/>
      <c r="DS173" s="2"/>
      <c r="DT173" s="2"/>
      <c r="DU173" s="2"/>
      <c r="DV173" s="2"/>
      <c r="DW173" s="2"/>
      <c r="DX173" s="2"/>
      <c r="DY173" s="2"/>
      <c r="DZ173" s="2"/>
      <c r="EA173" s="2"/>
      <c r="EB173" s="2"/>
      <c r="EC173" s="2"/>
      <c r="ED173" s="2"/>
      <c r="EE173" s="2"/>
      <c r="EF173" s="1"/>
      <c r="EG173" s="98"/>
      <c r="EH173" s="98"/>
      <c r="EI173" s="1"/>
      <c r="EJ173" s="1"/>
      <c r="EK173" s="98"/>
      <c r="EL173" s="1"/>
    </row>
    <row r="174" spans="1:142">
      <c r="A174" s="32">
        <f t="shared" si="92"/>
        <v>11110</v>
      </c>
      <c r="B174" s="3" t="str">
        <f t="shared" si="93"/>
        <v>sv_statement//Statement//Export Statement&amp;PDFID=Melissa Rutledge_11110&amp;SO=Y</v>
      </c>
      <c r="C174" s="5" t="str">
        <f t="shared" si="134"/>
        <v>Statement</v>
      </c>
      <c r="D174" s="5" t="str">
        <f t="shared" si="94"/>
        <v>Melissa Rutledge_11110</v>
      </c>
      <c r="E174" s="5"/>
      <c r="F174" s="5">
        <v>11110</v>
      </c>
      <c r="G174" s="22" t="s">
        <v>475</v>
      </c>
      <c r="H174" s="5" t="s">
        <v>195</v>
      </c>
      <c r="I174" s="5" t="s">
        <v>239</v>
      </c>
      <c r="J174" s="5" t="s">
        <v>208</v>
      </c>
      <c r="K174" s="5" t="s">
        <v>209</v>
      </c>
      <c r="L174" s="31">
        <f t="shared" si="95"/>
        <v>20714</v>
      </c>
      <c r="M174" s="5" t="s">
        <v>198</v>
      </c>
      <c r="N174" s="22" t="s">
        <v>155</v>
      </c>
      <c r="O174" s="100">
        <v>38453</v>
      </c>
      <c r="P174" s="146">
        <f>VLOOKUP(I174,'Job Codes'!$B$2:$I$120,4,FALSE)</f>
        <v>27000</v>
      </c>
      <c r="Q174" s="146">
        <f>VLOOKUP(I174,'Job Codes'!$B$2:$I$120,5,FALSE)</f>
        <v>35100</v>
      </c>
      <c r="R174" s="146">
        <f>VLOOKUP(I174,'Job Codes'!$B$2:$I$120,6,FALSE)</f>
        <v>42120</v>
      </c>
      <c r="S174" s="22" t="s">
        <v>171</v>
      </c>
      <c r="T174" s="146">
        <v>30118</v>
      </c>
      <c r="U174" s="8">
        <f>VLOOKUP(S174,Data!$H$22:$I$25,2,FALSE)*T174</f>
        <v>30118</v>
      </c>
      <c r="V174" s="180">
        <f t="shared" si="96"/>
        <v>0.85806267806267811</v>
      </c>
      <c r="W174" s="180">
        <f t="shared" si="97"/>
        <v>0.16541603028089513</v>
      </c>
      <c r="X174" s="22" t="str">
        <f t="shared" si="98"/>
        <v>Yes</v>
      </c>
      <c r="Y174" s="180">
        <f t="shared" si="99"/>
        <v>0.02</v>
      </c>
      <c r="Z174" s="146">
        <f t="shared" si="100"/>
        <v>602.36</v>
      </c>
      <c r="AA174" s="146">
        <f t="shared" si="101"/>
        <v>602.36</v>
      </c>
      <c r="AB174" s="72"/>
      <c r="AC174" s="146">
        <f>AB174/VLOOKUP(S174,Data!$H$22:$I$25,2,FALSE)</f>
        <v>0</v>
      </c>
      <c r="AD174" s="22" t="s">
        <v>157</v>
      </c>
      <c r="AE174" s="146">
        <f>VLOOKUP(S174,Data!$H$22:$J$25,3,FALSE)*T174</f>
        <v>903.54</v>
      </c>
      <c r="AF174" s="8">
        <f>VLOOKUP(S174,Data!$H$22:$I$25,2,FALSE)*AE174</f>
        <v>903.54</v>
      </c>
      <c r="AG174" s="8" t="s">
        <v>178</v>
      </c>
      <c r="AH174" s="23">
        <v>2.5000000000000001E-2</v>
      </c>
      <c r="AI174" s="72"/>
      <c r="AJ174" s="159">
        <f t="shared" si="102"/>
        <v>2.5000000000000001E-2</v>
      </c>
      <c r="AK174" s="168">
        <f t="shared" si="135"/>
        <v>752.95</v>
      </c>
      <c r="AL174" s="160">
        <f t="shared" si="136"/>
        <v>752.95</v>
      </c>
      <c r="AM174" s="168">
        <f t="shared" si="103"/>
        <v>30870.95</v>
      </c>
      <c r="AN174" s="160">
        <f t="shared" si="104"/>
        <v>30870.95</v>
      </c>
      <c r="AO174" s="160" t="str">
        <f t="shared" si="137"/>
        <v>No</v>
      </c>
      <c r="AP174" s="146">
        <f>IF(AQ174=0,0,AQ174/VLOOKUP(S174,Data!$H$22:$I$25,2,FALSE))</f>
        <v>0</v>
      </c>
      <c r="AQ174" s="183">
        <f t="shared" si="105"/>
        <v>0</v>
      </c>
      <c r="AR174" s="165">
        <f t="shared" si="106"/>
        <v>752.95</v>
      </c>
      <c r="AS174" s="183">
        <f t="shared" si="107"/>
        <v>752.95</v>
      </c>
      <c r="AT174" s="250">
        <f t="shared" si="108"/>
        <v>2.5000000000000001E-2</v>
      </c>
      <c r="AU174" s="146">
        <f t="shared" si="109"/>
        <v>30870.95</v>
      </c>
      <c r="AV174" s="8">
        <f t="shared" si="110"/>
        <v>30870.95</v>
      </c>
      <c r="AW174" s="8" t="str">
        <f t="shared" si="111"/>
        <v/>
      </c>
      <c r="AX174" s="180">
        <f t="shared" si="112"/>
        <v>0.87951424501424502</v>
      </c>
      <c r="AY174" s="146">
        <f t="shared" si="113"/>
        <v>0</v>
      </c>
      <c r="AZ174" s="146">
        <f t="shared" si="114"/>
        <v>0</v>
      </c>
      <c r="BA174" s="22" t="s">
        <v>159</v>
      </c>
      <c r="BB174" s="149"/>
      <c r="BC174" s="149"/>
      <c r="BD174" s="144"/>
      <c r="BE174" s="146" t="str">
        <f t="shared" si="115"/>
        <v/>
      </c>
      <c r="BF174" s="8" t="str">
        <f t="shared" si="116"/>
        <v/>
      </c>
      <c r="BG174" s="8" t="str">
        <f>IF(LEN(BC174)&gt;0,VLOOKUP(BC174,'Job Codes'!B167:I285,7,FALSE),"")</f>
        <v/>
      </c>
      <c r="BH174" s="192" t="str">
        <f>IF(LEN(BC174)&gt;0,VLOOKUP(BC174,'Job Codes'!B167:I285,8,FALSE),"")</f>
        <v/>
      </c>
      <c r="BI174" s="192" t="str">
        <f>IF(LEN(BC174)&gt;0,VLOOKUP(BC174,'Job Codes'!$B$2:$J$120,9,FALSE),"")</f>
        <v/>
      </c>
      <c r="BJ174" s="146" t="str">
        <f>IF(LEN(BC174)&gt;0,VLOOKUP(BC174,'Job Codes'!$B$2:$I$120,4,FALSE),"")</f>
        <v/>
      </c>
      <c r="BK174" s="146" t="str">
        <f>IF(LEN(BC174)&gt;0,VLOOKUP(BC174,'Job Codes'!$B$2:$I$120,5,FALSE),"")</f>
        <v/>
      </c>
      <c r="BL174" s="146" t="str">
        <f>IF(LEN(BC174)&gt;0,VLOOKUP(BC174,'Job Codes'!$B$2:$I$120,6,FALSE),"")</f>
        <v/>
      </c>
      <c r="BM174" s="168">
        <f t="shared" si="117"/>
        <v>30870.95</v>
      </c>
      <c r="BN174" s="160">
        <f t="shared" si="118"/>
        <v>30870.95</v>
      </c>
      <c r="BO174" s="22" t="s">
        <v>157</v>
      </c>
      <c r="BP174" s="157">
        <f>VLOOKUP(I174,'Job Codes'!$B$2:$I$120,8,FALSE)</f>
        <v>0.05</v>
      </c>
      <c r="BQ174" s="25" t="str">
        <f>IF(O174&gt;Data!$H$33,"Yes","No")</f>
        <v>No</v>
      </c>
      <c r="BR174" s="191">
        <v>0.05</v>
      </c>
      <c r="BS174" s="150">
        <f t="shared" si="119"/>
        <v>1505.9</v>
      </c>
      <c r="BT174" s="25">
        <f t="shared" si="120"/>
        <v>1505.9</v>
      </c>
      <c r="BU174" s="161">
        <v>1</v>
      </c>
      <c r="BV174" s="168">
        <f t="shared" si="121"/>
        <v>1505.9</v>
      </c>
      <c r="BW174" s="160">
        <f t="shared" si="122"/>
        <v>1505.9</v>
      </c>
      <c r="BX174" s="149"/>
      <c r="BY174" s="32">
        <f t="shared" si="123"/>
        <v>0</v>
      </c>
      <c r="BZ174" s="22" t="s">
        <v>159</v>
      </c>
      <c r="CA174" s="231">
        <f>VLOOKUP(I174,'Job Codes'!$B$2:$J$120,9,FALSE)</f>
        <v>0</v>
      </c>
      <c r="CB174" s="253">
        <f t="shared" si="124"/>
        <v>0</v>
      </c>
      <c r="CC174" s="72"/>
      <c r="CD174" s="25" t="str">
        <f t="shared" si="125"/>
        <v>Meets</v>
      </c>
      <c r="CE174" s="27"/>
      <c r="CF174" s="27"/>
      <c r="CG174" s="27"/>
      <c r="CH174" s="27"/>
      <c r="CI174" s="27"/>
      <c r="CJ174" s="3"/>
      <c r="CK174" s="3"/>
      <c r="CL174" s="3">
        <v>4569</v>
      </c>
      <c r="CM174" s="3" t="s">
        <v>161</v>
      </c>
      <c r="CN174" s="3">
        <v>4571</v>
      </c>
      <c r="CO174" s="3" t="s">
        <v>162</v>
      </c>
      <c r="CP174" s="3">
        <v>12345</v>
      </c>
      <c r="CQ174" s="3" t="s">
        <v>163</v>
      </c>
      <c r="CR174" s="246" t="s">
        <v>179</v>
      </c>
      <c r="CS174" s="247" t="s">
        <v>180</v>
      </c>
      <c r="CT174" s="246" t="s">
        <v>199</v>
      </c>
      <c r="CU174" s="247" t="s">
        <v>200</v>
      </c>
      <c r="CV174" s="3" t="str">
        <f t="shared" si="126"/>
        <v>90876;36523</v>
      </c>
      <c r="CW174" s="3" t="s">
        <v>168</v>
      </c>
      <c r="CX174" s="3" t="str">
        <f t="shared" si="127"/>
        <v>;;BB174:BD174;;CC174</v>
      </c>
      <c r="CY174" s="5" t="str">
        <f t="shared" si="128"/>
        <v>Unlock</v>
      </c>
      <c r="CZ174" s="5" t="str">
        <f t="shared" si="129"/>
        <v>Lock</v>
      </c>
      <c r="DA174" s="5" t="str">
        <f t="shared" si="130"/>
        <v>Lock</v>
      </c>
      <c r="DB174" s="5" t="str">
        <f t="shared" si="131"/>
        <v>Lock</v>
      </c>
      <c r="DC174" s="5" t="str">
        <f t="shared" si="132"/>
        <v>Lock</v>
      </c>
      <c r="DD174" s="78">
        <f t="shared" si="133"/>
        <v>3</v>
      </c>
      <c r="DE174" s="2"/>
      <c r="DF174" s="2"/>
      <c r="DG174" s="2"/>
      <c r="DH174" s="2"/>
      <c r="DI174" s="2"/>
      <c r="DJ174" s="2"/>
      <c r="DK174" s="5"/>
      <c r="DL174" s="2"/>
      <c r="DM174" s="2"/>
      <c r="DN174" s="2"/>
      <c r="DO174" s="2"/>
      <c r="DP174" s="2"/>
      <c r="DQ174" s="2"/>
      <c r="DR174" s="2"/>
      <c r="DS174" s="2"/>
      <c r="DT174" s="2"/>
      <c r="DU174" s="2"/>
      <c r="DV174" s="2"/>
      <c r="DW174" s="2"/>
      <c r="DX174" s="2"/>
      <c r="DY174" s="2"/>
      <c r="DZ174" s="2"/>
      <c r="EA174" s="2"/>
      <c r="EB174" s="2"/>
      <c r="EC174" s="2"/>
      <c r="ED174" s="2"/>
      <c r="EE174" s="2"/>
      <c r="EF174" s="1"/>
      <c r="EG174" s="98"/>
      <c r="EH174" s="98"/>
      <c r="EI174" s="1"/>
      <c r="EJ174" s="1"/>
      <c r="EK174" s="98"/>
      <c r="EL174" s="1"/>
    </row>
    <row r="175" spans="1:142">
      <c r="A175" s="32">
        <f t="shared" si="92"/>
        <v>11130</v>
      </c>
      <c r="B175" s="3" t="str">
        <f t="shared" si="93"/>
        <v>sv_statement//Statement//Export Statement&amp;PDFID=Candace Kirksey_11130&amp;SO=Y</v>
      </c>
      <c r="C175" s="5" t="str">
        <f t="shared" si="134"/>
        <v>Statement</v>
      </c>
      <c r="D175" s="5" t="str">
        <f t="shared" si="94"/>
        <v>Candace Kirksey_11130</v>
      </c>
      <c r="E175" s="5"/>
      <c r="F175" s="5">
        <v>11130</v>
      </c>
      <c r="G175" s="22" t="s">
        <v>476</v>
      </c>
      <c r="H175" s="5" t="s">
        <v>195</v>
      </c>
      <c r="I175" s="5" t="s">
        <v>236</v>
      </c>
      <c r="J175" s="5" t="s">
        <v>208</v>
      </c>
      <c r="K175" s="5" t="s">
        <v>209</v>
      </c>
      <c r="L175" s="31">
        <f t="shared" si="95"/>
        <v>20714</v>
      </c>
      <c r="M175" s="5" t="s">
        <v>198</v>
      </c>
      <c r="N175" s="22" t="s">
        <v>155</v>
      </c>
      <c r="O175" s="100">
        <v>38450</v>
      </c>
      <c r="P175" s="146">
        <f>VLOOKUP(I175,'Job Codes'!$B$2:$I$120,4,FALSE)</f>
        <v>27000</v>
      </c>
      <c r="Q175" s="146">
        <f>VLOOKUP(I175,'Job Codes'!$B$2:$I$120,5,FALSE)</f>
        <v>35100</v>
      </c>
      <c r="R175" s="146">
        <f>VLOOKUP(I175,'Job Codes'!$B$2:$I$120,6,FALSE)</f>
        <v>42120</v>
      </c>
      <c r="S175" s="22" t="s">
        <v>171</v>
      </c>
      <c r="T175" s="146">
        <v>39645</v>
      </c>
      <c r="U175" s="8">
        <f>VLOOKUP(S175,Data!$H$22:$I$25,2,FALSE)*T175</f>
        <v>39645</v>
      </c>
      <c r="V175" s="180">
        <f t="shared" si="96"/>
        <v>1.1294871794871795</v>
      </c>
      <c r="W175" s="180">
        <f t="shared" si="97"/>
        <v>0</v>
      </c>
      <c r="X175" s="22" t="str">
        <f t="shared" si="98"/>
        <v>No</v>
      </c>
      <c r="Y175" s="180">
        <f t="shared" si="99"/>
        <v>0</v>
      </c>
      <c r="Z175" s="146">
        <f t="shared" si="100"/>
        <v>0</v>
      </c>
      <c r="AA175" s="146">
        <f t="shared" si="101"/>
        <v>0</v>
      </c>
      <c r="AB175" s="72"/>
      <c r="AC175" s="146">
        <f>AB175/VLOOKUP(S175,Data!$H$22:$I$25,2,FALSE)</f>
        <v>0</v>
      </c>
      <c r="AD175" s="22" t="s">
        <v>157</v>
      </c>
      <c r="AE175" s="146">
        <f>VLOOKUP(S175,Data!$H$22:$J$25,3,FALSE)*T175</f>
        <v>1189.3499999999999</v>
      </c>
      <c r="AF175" s="8">
        <f>VLOOKUP(S175,Data!$H$22:$I$25,2,FALSE)*AE175</f>
        <v>1189.3499999999999</v>
      </c>
      <c r="AG175" s="8" t="s">
        <v>178</v>
      </c>
      <c r="AH175" s="23">
        <v>2.5000000000000001E-2</v>
      </c>
      <c r="AI175" s="72"/>
      <c r="AJ175" s="159">
        <f t="shared" si="102"/>
        <v>2.5000000000000001E-2</v>
      </c>
      <c r="AK175" s="168">
        <f t="shared" si="135"/>
        <v>991.125</v>
      </c>
      <c r="AL175" s="160">
        <f t="shared" si="136"/>
        <v>991.125</v>
      </c>
      <c r="AM175" s="168">
        <f t="shared" si="103"/>
        <v>40636.125</v>
      </c>
      <c r="AN175" s="160">
        <f t="shared" si="104"/>
        <v>40636.125</v>
      </c>
      <c r="AO175" s="160" t="str">
        <f t="shared" si="137"/>
        <v>No</v>
      </c>
      <c r="AP175" s="146">
        <f>IF(AQ175=0,0,AQ175/VLOOKUP(S175,Data!$H$22:$I$25,2,FALSE))</f>
        <v>0</v>
      </c>
      <c r="AQ175" s="183">
        <f t="shared" si="105"/>
        <v>0</v>
      </c>
      <c r="AR175" s="165">
        <f t="shared" si="106"/>
        <v>991.125</v>
      </c>
      <c r="AS175" s="183">
        <f t="shared" si="107"/>
        <v>991.125</v>
      </c>
      <c r="AT175" s="250">
        <f t="shared" si="108"/>
        <v>2.5000000000000001E-2</v>
      </c>
      <c r="AU175" s="146">
        <f t="shared" si="109"/>
        <v>40636.125</v>
      </c>
      <c r="AV175" s="8">
        <f t="shared" si="110"/>
        <v>40636.125</v>
      </c>
      <c r="AW175" s="8" t="str">
        <f t="shared" si="111"/>
        <v/>
      </c>
      <c r="AX175" s="180">
        <f t="shared" si="112"/>
        <v>1.1577243589743589</v>
      </c>
      <c r="AY175" s="146">
        <f t="shared" si="113"/>
        <v>0</v>
      </c>
      <c r="AZ175" s="146">
        <f t="shared" si="114"/>
        <v>0</v>
      </c>
      <c r="BA175" s="22" t="s">
        <v>159</v>
      </c>
      <c r="BB175" s="149"/>
      <c r="BC175" s="149"/>
      <c r="BD175" s="144"/>
      <c r="BE175" s="146" t="str">
        <f t="shared" si="115"/>
        <v/>
      </c>
      <c r="BF175" s="8" t="str">
        <f t="shared" si="116"/>
        <v/>
      </c>
      <c r="BG175" s="8" t="str">
        <f>IF(LEN(BC175)&gt;0,VLOOKUP(BC175,'Job Codes'!B168:I286,7,FALSE),"")</f>
        <v/>
      </c>
      <c r="BH175" s="192" t="str">
        <f>IF(LEN(BC175)&gt;0,VLOOKUP(BC175,'Job Codes'!B168:I286,8,FALSE),"")</f>
        <v/>
      </c>
      <c r="BI175" s="192" t="str">
        <f>IF(LEN(BC175)&gt;0,VLOOKUP(BC175,'Job Codes'!$B$2:$J$120,9,FALSE),"")</f>
        <v/>
      </c>
      <c r="BJ175" s="146" t="str">
        <f>IF(LEN(BC175)&gt;0,VLOOKUP(BC175,'Job Codes'!$B$2:$I$120,4,FALSE),"")</f>
        <v/>
      </c>
      <c r="BK175" s="146" t="str">
        <f>IF(LEN(BC175)&gt;0,VLOOKUP(BC175,'Job Codes'!$B$2:$I$120,5,FALSE),"")</f>
        <v/>
      </c>
      <c r="BL175" s="146" t="str">
        <f>IF(LEN(BC175)&gt;0,VLOOKUP(BC175,'Job Codes'!$B$2:$I$120,6,FALSE),"")</f>
        <v/>
      </c>
      <c r="BM175" s="168">
        <f t="shared" si="117"/>
        <v>40636.125</v>
      </c>
      <c r="BN175" s="160">
        <f t="shared" si="118"/>
        <v>40636.125</v>
      </c>
      <c r="BO175" s="22" t="s">
        <v>157</v>
      </c>
      <c r="BP175" s="157">
        <f>VLOOKUP(I175,'Job Codes'!$B$2:$I$120,8,FALSE)</f>
        <v>0.05</v>
      </c>
      <c r="BQ175" s="25" t="str">
        <f>IF(O175&gt;Data!$H$33,"Yes","No")</f>
        <v>No</v>
      </c>
      <c r="BR175" s="191">
        <v>0.05</v>
      </c>
      <c r="BS175" s="150">
        <f t="shared" si="119"/>
        <v>1982.25</v>
      </c>
      <c r="BT175" s="25">
        <f t="shared" si="120"/>
        <v>1982.25</v>
      </c>
      <c r="BU175" s="161">
        <v>1</v>
      </c>
      <c r="BV175" s="168">
        <f t="shared" si="121"/>
        <v>1982.25</v>
      </c>
      <c r="BW175" s="160">
        <f t="shared" si="122"/>
        <v>1982.25</v>
      </c>
      <c r="BX175" s="149"/>
      <c r="BY175" s="32">
        <f t="shared" si="123"/>
        <v>0</v>
      </c>
      <c r="BZ175" s="22" t="s">
        <v>159</v>
      </c>
      <c r="CA175" s="231">
        <f>VLOOKUP(I175,'Job Codes'!$B$2:$J$120,9,FALSE)</f>
        <v>0</v>
      </c>
      <c r="CB175" s="253">
        <f t="shared" si="124"/>
        <v>0</v>
      </c>
      <c r="CC175" s="72"/>
      <c r="CD175" s="25" t="str">
        <f t="shared" si="125"/>
        <v>Meets</v>
      </c>
      <c r="CE175" s="27"/>
      <c r="CF175" s="27"/>
      <c r="CG175" s="27"/>
      <c r="CH175" s="27"/>
      <c r="CI175" s="27"/>
      <c r="CJ175" s="3"/>
      <c r="CK175" s="3"/>
      <c r="CL175" s="3">
        <v>4569</v>
      </c>
      <c r="CM175" s="3" t="s">
        <v>161</v>
      </c>
      <c r="CN175" s="3">
        <v>4571</v>
      </c>
      <c r="CO175" s="3" t="s">
        <v>162</v>
      </c>
      <c r="CP175" s="3">
        <v>12345</v>
      </c>
      <c r="CQ175" s="3" t="s">
        <v>163</v>
      </c>
      <c r="CR175" s="246" t="s">
        <v>179</v>
      </c>
      <c r="CS175" s="247" t="s">
        <v>180</v>
      </c>
      <c r="CT175" s="246" t="s">
        <v>199</v>
      </c>
      <c r="CU175" s="247" t="s">
        <v>200</v>
      </c>
      <c r="CV175" s="3" t="str">
        <f t="shared" si="126"/>
        <v>90876;36523</v>
      </c>
      <c r="CW175" s="3" t="s">
        <v>168</v>
      </c>
      <c r="CX175" s="3" t="str">
        <f t="shared" si="127"/>
        <v>AB175;;BB175:BD175;;CC175</v>
      </c>
      <c r="CY175" s="5" t="str">
        <f t="shared" si="128"/>
        <v>Unlock</v>
      </c>
      <c r="CZ175" s="5" t="str">
        <f t="shared" si="129"/>
        <v>Lock</v>
      </c>
      <c r="DA175" s="5" t="str">
        <f t="shared" si="130"/>
        <v>Lock</v>
      </c>
      <c r="DB175" s="5" t="str">
        <f t="shared" si="131"/>
        <v>Lock</v>
      </c>
      <c r="DC175" s="5" t="str">
        <f t="shared" si="132"/>
        <v>Lock</v>
      </c>
      <c r="DD175" s="78">
        <f t="shared" si="133"/>
        <v>3</v>
      </c>
      <c r="DE175" s="2"/>
      <c r="DF175" s="2"/>
      <c r="DG175" s="2"/>
      <c r="DH175" s="2"/>
      <c r="DI175" s="2"/>
      <c r="DJ175" s="2"/>
      <c r="DK175" s="5"/>
      <c r="DL175" s="2"/>
      <c r="DM175" s="2"/>
      <c r="DN175" s="2"/>
      <c r="DO175" s="2"/>
      <c r="DP175" s="2"/>
      <c r="DQ175" s="2"/>
      <c r="DR175" s="2"/>
      <c r="DS175" s="2"/>
      <c r="DT175" s="2"/>
      <c r="DU175" s="2"/>
      <c r="DV175" s="2"/>
      <c r="DW175" s="2"/>
      <c r="DX175" s="2"/>
      <c r="DY175" s="2"/>
      <c r="DZ175" s="2"/>
      <c r="EA175" s="2"/>
      <c r="EB175" s="2"/>
      <c r="EC175" s="2"/>
      <c r="ED175" s="2"/>
      <c r="EE175" s="2"/>
      <c r="EF175" s="1"/>
      <c r="EG175" s="98"/>
      <c r="EH175" s="98"/>
      <c r="EI175" s="1"/>
      <c r="EJ175" s="1"/>
      <c r="EK175" s="98"/>
      <c r="EL175" s="1"/>
    </row>
    <row r="176" spans="1:142">
      <c r="A176" s="32">
        <f t="shared" si="92"/>
        <v>11132</v>
      </c>
      <c r="B176" s="3" t="str">
        <f t="shared" si="93"/>
        <v>sv_statement//Statement//Export Statement&amp;PDFID=Joanne Kershner_11132&amp;SO=Y</v>
      </c>
      <c r="C176" s="5" t="str">
        <f t="shared" si="134"/>
        <v>Statement</v>
      </c>
      <c r="D176" s="5" t="str">
        <f t="shared" si="94"/>
        <v>Joanne Kershner_11132</v>
      </c>
      <c r="E176" s="5"/>
      <c r="F176" s="5">
        <v>11132</v>
      </c>
      <c r="G176" s="22" t="s">
        <v>477</v>
      </c>
      <c r="H176" s="5" t="s">
        <v>195</v>
      </c>
      <c r="I176" s="5" t="s">
        <v>242</v>
      </c>
      <c r="J176" s="5" t="s">
        <v>208</v>
      </c>
      <c r="K176" s="5" t="s">
        <v>209</v>
      </c>
      <c r="L176" s="31">
        <f t="shared" si="95"/>
        <v>20714</v>
      </c>
      <c r="M176" s="5" t="s">
        <v>198</v>
      </c>
      <c r="N176" s="22" t="s">
        <v>155</v>
      </c>
      <c r="O176" s="100">
        <v>38453</v>
      </c>
      <c r="P176" s="146">
        <f>VLOOKUP(I176,'Job Codes'!$B$2:$I$120,4,FALSE)</f>
        <v>33000</v>
      </c>
      <c r="Q176" s="146">
        <f>VLOOKUP(I176,'Job Codes'!$B$2:$I$120,5,FALSE)</f>
        <v>42900</v>
      </c>
      <c r="R176" s="146">
        <f>VLOOKUP(I176,'Job Codes'!$B$2:$I$120,6,FALSE)</f>
        <v>51480</v>
      </c>
      <c r="S176" s="22" t="s">
        <v>171</v>
      </c>
      <c r="T176" s="146">
        <v>38771</v>
      </c>
      <c r="U176" s="8">
        <f>VLOOKUP(S176,Data!$H$22:$I$25,2,FALSE)*T176</f>
        <v>38771</v>
      </c>
      <c r="V176" s="180">
        <f t="shared" si="96"/>
        <v>0.90375291375291378</v>
      </c>
      <c r="W176" s="180">
        <f t="shared" si="97"/>
        <v>0.10649712413917618</v>
      </c>
      <c r="X176" s="22" t="str">
        <f t="shared" si="98"/>
        <v>Yes</v>
      </c>
      <c r="Y176" s="180">
        <f t="shared" si="99"/>
        <v>0.02</v>
      </c>
      <c r="Z176" s="146">
        <f t="shared" si="100"/>
        <v>775.42000000000007</v>
      </c>
      <c r="AA176" s="146">
        <f t="shared" si="101"/>
        <v>775.42000000000007</v>
      </c>
      <c r="AB176" s="72"/>
      <c r="AC176" s="146">
        <f>AB176/VLOOKUP(S176,Data!$H$22:$I$25,2,FALSE)</f>
        <v>0</v>
      </c>
      <c r="AD176" s="22" t="s">
        <v>157</v>
      </c>
      <c r="AE176" s="146">
        <f>VLOOKUP(S176,Data!$H$22:$J$25,3,FALSE)*T176</f>
        <v>1163.1299999999999</v>
      </c>
      <c r="AF176" s="8">
        <f>VLOOKUP(S176,Data!$H$22:$I$25,2,FALSE)*AE176</f>
        <v>1163.1299999999999</v>
      </c>
      <c r="AG176" s="8" t="s">
        <v>178</v>
      </c>
      <c r="AH176" s="23">
        <v>2.5000000000000001E-2</v>
      </c>
      <c r="AI176" s="72"/>
      <c r="AJ176" s="159">
        <f t="shared" si="102"/>
        <v>2.5000000000000001E-2</v>
      </c>
      <c r="AK176" s="168">
        <f t="shared" si="135"/>
        <v>969.27500000000009</v>
      </c>
      <c r="AL176" s="160">
        <f t="shared" si="136"/>
        <v>969.27500000000009</v>
      </c>
      <c r="AM176" s="168">
        <f t="shared" si="103"/>
        <v>39740.275000000001</v>
      </c>
      <c r="AN176" s="160">
        <f t="shared" si="104"/>
        <v>39740.275000000001</v>
      </c>
      <c r="AO176" s="160" t="str">
        <f t="shared" si="137"/>
        <v>No</v>
      </c>
      <c r="AP176" s="146">
        <f>IF(AQ176=0,0,AQ176/VLOOKUP(S176,Data!$H$22:$I$25,2,FALSE))</f>
        <v>0</v>
      </c>
      <c r="AQ176" s="183">
        <f t="shared" si="105"/>
        <v>0</v>
      </c>
      <c r="AR176" s="165">
        <f t="shared" si="106"/>
        <v>969.27500000000009</v>
      </c>
      <c r="AS176" s="183">
        <f t="shared" si="107"/>
        <v>969.27500000000009</v>
      </c>
      <c r="AT176" s="250">
        <f t="shared" si="108"/>
        <v>2.5000000000000001E-2</v>
      </c>
      <c r="AU176" s="146">
        <f t="shared" si="109"/>
        <v>39740.275000000001</v>
      </c>
      <c r="AV176" s="8">
        <f t="shared" si="110"/>
        <v>39740.275000000001</v>
      </c>
      <c r="AW176" s="8" t="str">
        <f t="shared" si="111"/>
        <v/>
      </c>
      <c r="AX176" s="180">
        <f t="shared" si="112"/>
        <v>0.92634673659673661</v>
      </c>
      <c r="AY176" s="146">
        <f t="shared" si="113"/>
        <v>0</v>
      </c>
      <c r="AZ176" s="146">
        <f t="shared" si="114"/>
        <v>0</v>
      </c>
      <c r="BA176" s="22" t="s">
        <v>159</v>
      </c>
      <c r="BB176" s="149"/>
      <c r="BC176" s="149"/>
      <c r="BD176" s="144"/>
      <c r="BE176" s="146" t="str">
        <f t="shared" si="115"/>
        <v/>
      </c>
      <c r="BF176" s="8" t="str">
        <f t="shared" si="116"/>
        <v/>
      </c>
      <c r="BG176" s="8" t="str">
        <f>IF(LEN(BC176)&gt;0,VLOOKUP(BC176,'Job Codes'!B169:I287,7,FALSE),"")</f>
        <v/>
      </c>
      <c r="BH176" s="192" t="str">
        <f>IF(LEN(BC176)&gt;0,VLOOKUP(BC176,'Job Codes'!B169:I287,8,FALSE),"")</f>
        <v/>
      </c>
      <c r="BI176" s="192" t="str">
        <f>IF(LEN(BC176)&gt;0,VLOOKUP(BC176,'Job Codes'!$B$2:$J$120,9,FALSE),"")</f>
        <v/>
      </c>
      <c r="BJ176" s="146" t="str">
        <f>IF(LEN(BC176)&gt;0,VLOOKUP(BC176,'Job Codes'!$B$2:$I$120,4,FALSE),"")</f>
        <v/>
      </c>
      <c r="BK176" s="146" t="str">
        <f>IF(LEN(BC176)&gt;0,VLOOKUP(BC176,'Job Codes'!$B$2:$I$120,5,FALSE),"")</f>
        <v/>
      </c>
      <c r="BL176" s="146" t="str">
        <f>IF(LEN(BC176)&gt;0,VLOOKUP(BC176,'Job Codes'!$B$2:$I$120,6,FALSE),"")</f>
        <v/>
      </c>
      <c r="BM176" s="168">
        <f t="shared" si="117"/>
        <v>39740.275000000001</v>
      </c>
      <c r="BN176" s="160">
        <f t="shared" si="118"/>
        <v>39740.275000000001</v>
      </c>
      <c r="BO176" s="22" t="s">
        <v>157</v>
      </c>
      <c r="BP176" s="157">
        <f>VLOOKUP(I176,'Job Codes'!$B$2:$I$120,8,FALSE)</f>
        <v>0.1</v>
      </c>
      <c r="BQ176" s="25" t="str">
        <f>IF(O176&gt;Data!$H$33,"Yes","No")</f>
        <v>No</v>
      </c>
      <c r="BR176" s="191">
        <v>0.1</v>
      </c>
      <c r="BS176" s="150">
        <f t="shared" si="119"/>
        <v>3877.1000000000004</v>
      </c>
      <c r="BT176" s="25">
        <f t="shared" si="120"/>
        <v>3877.1000000000004</v>
      </c>
      <c r="BU176" s="161">
        <v>1</v>
      </c>
      <c r="BV176" s="168">
        <f t="shared" si="121"/>
        <v>3877.1000000000004</v>
      </c>
      <c r="BW176" s="160">
        <f t="shared" si="122"/>
        <v>3877.1000000000004</v>
      </c>
      <c r="BX176" s="149"/>
      <c r="BY176" s="32">
        <f t="shared" si="123"/>
        <v>0</v>
      </c>
      <c r="BZ176" s="22" t="s">
        <v>157</v>
      </c>
      <c r="CA176" s="231">
        <f>VLOOKUP(I176,'Job Codes'!$B$2:$J$120,9,FALSE)</f>
        <v>0.1</v>
      </c>
      <c r="CB176" s="253">
        <f t="shared" si="124"/>
        <v>3877.1000000000004</v>
      </c>
      <c r="CC176" s="72"/>
      <c r="CD176" s="25" t="str">
        <f t="shared" si="125"/>
        <v>Meets</v>
      </c>
      <c r="CE176" s="27"/>
      <c r="CF176" s="27"/>
      <c r="CG176" s="27"/>
      <c r="CH176" s="27"/>
      <c r="CI176" s="27"/>
      <c r="CJ176" s="3"/>
      <c r="CK176" s="3"/>
      <c r="CL176" s="3">
        <v>4569</v>
      </c>
      <c r="CM176" s="3" t="s">
        <v>161</v>
      </c>
      <c r="CN176" s="3">
        <v>4571</v>
      </c>
      <c r="CO176" s="3" t="s">
        <v>162</v>
      </c>
      <c r="CP176" s="3">
        <v>12345</v>
      </c>
      <c r="CQ176" s="3" t="s">
        <v>163</v>
      </c>
      <c r="CR176" s="246" t="s">
        <v>179</v>
      </c>
      <c r="CS176" s="247" t="s">
        <v>180</v>
      </c>
      <c r="CT176" s="246" t="s">
        <v>199</v>
      </c>
      <c r="CU176" s="247" t="s">
        <v>200</v>
      </c>
      <c r="CV176" s="3" t="str">
        <f t="shared" si="126"/>
        <v>90876;36523</v>
      </c>
      <c r="CW176" s="3" t="s">
        <v>168</v>
      </c>
      <c r="CX176" s="3" t="str">
        <f t="shared" si="127"/>
        <v>;;BB176:BD176;;</v>
      </c>
      <c r="CY176" s="5" t="str">
        <f t="shared" si="128"/>
        <v>Unlock</v>
      </c>
      <c r="CZ176" s="5" t="str">
        <f t="shared" si="129"/>
        <v>Lock</v>
      </c>
      <c r="DA176" s="5" t="str">
        <f t="shared" si="130"/>
        <v>Lock</v>
      </c>
      <c r="DB176" s="5" t="str">
        <f t="shared" si="131"/>
        <v>Lock</v>
      </c>
      <c r="DC176" s="5" t="str">
        <f t="shared" si="132"/>
        <v>Lock</v>
      </c>
      <c r="DD176" s="78">
        <f t="shared" si="133"/>
        <v>3</v>
      </c>
      <c r="DE176" s="2"/>
      <c r="DF176" s="2"/>
      <c r="DG176" s="2"/>
      <c r="DH176" s="2"/>
      <c r="DI176" s="2"/>
      <c r="DJ176" s="2"/>
      <c r="DK176" s="5"/>
      <c r="DL176" s="2"/>
      <c r="DM176" s="2"/>
      <c r="DN176" s="2"/>
      <c r="DO176" s="2"/>
      <c r="DP176" s="2"/>
      <c r="DQ176" s="2"/>
      <c r="DR176" s="2"/>
      <c r="DS176" s="2"/>
      <c r="DT176" s="2"/>
      <c r="DU176" s="2"/>
      <c r="DV176" s="2"/>
      <c r="DW176" s="2"/>
      <c r="DX176" s="2"/>
      <c r="DY176" s="2"/>
      <c r="DZ176" s="2"/>
      <c r="EA176" s="2"/>
      <c r="EB176" s="2"/>
      <c r="EC176" s="2"/>
      <c r="ED176" s="2"/>
      <c r="EE176" s="2"/>
      <c r="EF176" s="1"/>
      <c r="EG176" s="98"/>
      <c r="EH176" s="98"/>
      <c r="EI176" s="1"/>
      <c r="EJ176" s="1"/>
      <c r="EK176" s="98"/>
      <c r="EL176" s="1"/>
    </row>
    <row r="177" spans="1:142">
      <c r="A177" s="32">
        <f t="shared" si="92"/>
        <v>11168</v>
      </c>
      <c r="B177" s="3" t="str">
        <f t="shared" si="93"/>
        <v>sv_statement//Statement//Export Statement&amp;PDFID=Harold Shavers_11168&amp;SO=Y</v>
      </c>
      <c r="C177" s="5" t="str">
        <f t="shared" si="134"/>
        <v>Statement</v>
      </c>
      <c r="D177" s="5" t="str">
        <f t="shared" si="94"/>
        <v>Harold Shavers_11168</v>
      </c>
      <c r="E177" s="5"/>
      <c r="F177" s="5">
        <v>11168</v>
      </c>
      <c r="G177" s="22" t="s">
        <v>478</v>
      </c>
      <c r="H177" s="5" t="s">
        <v>195</v>
      </c>
      <c r="I177" s="5" t="s">
        <v>236</v>
      </c>
      <c r="J177" s="5" t="s">
        <v>208</v>
      </c>
      <c r="K177" s="5" t="s">
        <v>209</v>
      </c>
      <c r="L177" s="31">
        <f t="shared" si="95"/>
        <v>20714</v>
      </c>
      <c r="M177" s="5" t="s">
        <v>198</v>
      </c>
      <c r="N177" s="22" t="s">
        <v>155</v>
      </c>
      <c r="O177" s="100">
        <v>38446</v>
      </c>
      <c r="P177" s="146">
        <f>VLOOKUP(I177,'Job Codes'!$B$2:$I$120,4,FALSE)</f>
        <v>27000</v>
      </c>
      <c r="Q177" s="146">
        <f>VLOOKUP(I177,'Job Codes'!$B$2:$I$120,5,FALSE)</f>
        <v>35100</v>
      </c>
      <c r="R177" s="146">
        <f>VLOOKUP(I177,'Job Codes'!$B$2:$I$120,6,FALSE)</f>
        <v>42120</v>
      </c>
      <c r="S177" s="22" t="s">
        <v>171</v>
      </c>
      <c r="T177" s="146">
        <v>27082</v>
      </c>
      <c r="U177" s="8">
        <f>VLOOKUP(S177,Data!$H$22:$I$25,2,FALSE)*T177</f>
        <v>27082</v>
      </c>
      <c r="V177" s="180">
        <f t="shared" si="96"/>
        <v>0.77156695156695154</v>
      </c>
      <c r="W177" s="180">
        <f t="shared" si="97"/>
        <v>0.29606380621815226</v>
      </c>
      <c r="X177" s="22" t="str">
        <f t="shared" si="98"/>
        <v>Yes</v>
      </c>
      <c r="Y177" s="180">
        <f t="shared" si="99"/>
        <v>0.02</v>
      </c>
      <c r="Z177" s="146">
        <f t="shared" si="100"/>
        <v>541.64</v>
      </c>
      <c r="AA177" s="146">
        <f t="shared" si="101"/>
        <v>541.64</v>
      </c>
      <c r="AB177" s="72"/>
      <c r="AC177" s="146">
        <f>AB177/VLOOKUP(S177,Data!$H$22:$I$25,2,FALSE)</f>
        <v>0</v>
      </c>
      <c r="AD177" s="22" t="s">
        <v>157</v>
      </c>
      <c r="AE177" s="146">
        <f>VLOOKUP(S177,Data!$H$22:$J$25,3,FALSE)*T177</f>
        <v>812.45999999999992</v>
      </c>
      <c r="AF177" s="8">
        <f>VLOOKUP(S177,Data!$H$22:$I$25,2,FALSE)*AE177</f>
        <v>812.45999999999992</v>
      </c>
      <c r="AG177" s="8" t="s">
        <v>158</v>
      </c>
      <c r="AH177" s="23">
        <v>3.5000000000000003E-2</v>
      </c>
      <c r="AI177" s="72"/>
      <c r="AJ177" s="159">
        <f t="shared" si="102"/>
        <v>3.5000000000000003E-2</v>
      </c>
      <c r="AK177" s="168">
        <f t="shared" si="135"/>
        <v>947.87000000000012</v>
      </c>
      <c r="AL177" s="160">
        <f t="shared" si="136"/>
        <v>947.87000000000012</v>
      </c>
      <c r="AM177" s="168">
        <f t="shared" si="103"/>
        <v>28029.87</v>
      </c>
      <c r="AN177" s="160">
        <f t="shared" si="104"/>
        <v>28029.87</v>
      </c>
      <c r="AO177" s="160" t="str">
        <f t="shared" si="137"/>
        <v>No</v>
      </c>
      <c r="AP177" s="146">
        <f>IF(AQ177=0,0,AQ177/VLOOKUP(S177,Data!$H$22:$I$25,2,FALSE))</f>
        <v>0</v>
      </c>
      <c r="AQ177" s="183">
        <f t="shared" si="105"/>
        <v>0</v>
      </c>
      <c r="AR177" s="165">
        <f t="shared" si="106"/>
        <v>947.87000000000012</v>
      </c>
      <c r="AS177" s="183">
        <f t="shared" si="107"/>
        <v>947.87000000000012</v>
      </c>
      <c r="AT177" s="250">
        <f t="shared" si="108"/>
        <v>3.5000000000000003E-2</v>
      </c>
      <c r="AU177" s="146">
        <f t="shared" si="109"/>
        <v>28029.87</v>
      </c>
      <c r="AV177" s="8">
        <f t="shared" si="110"/>
        <v>28029.87</v>
      </c>
      <c r="AW177" s="8" t="str">
        <f t="shared" si="111"/>
        <v/>
      </c>
      <c r="AX177" s="180">
        <f t="shared" si="112"/>
        <v>0.79857179487179486</v>
      </c>
      <c r="AY177" s="146">
        <f t="shared" si="113"/>
        <v>0</v>
      </c>
      <c r="AZ177" s="146">
        <f t="shared" si="114"/>
        <v>0</v>
      </c>
      <c r="BA177" s="22" t="s">
        <v>159</v>
      </c>
      <c r="BB177" s="149"/>
      <c r="BC177" s="149"/>
      <c r="BD177" s="144"/>
      <c r="BE177" s="146" t="str">
        <f t="shared" si="115"/>
        <v/>
      </c>
      <c r="BF177" s="8" t="str">
        <f t="shared" si="116"/>
        <v/>
      </c>
      <c r="BG177" s="8" t="str">
        <f>IF(LEN(BC177)&gt;0,VLOOKUP(BC177,'Job Codes'!B170:I288,7,FALSE),"")</f>
        <v/>
      </c>
      <c r="BH177" s="192" t="str">
        <f>IF(LEN(BC177)&gt;0,VLOOKUP(BC177,'Job Codes'!B170:I288,8,FALSE),"")</f>
        <v/>
      </c>
      <c r="BI177" s="192" t="str">
        <f>IF(LEN(BC177)&gt;0,VLOOKUP(BC177,'Job Codes'!$B$2:$J$120,9,FALSE),"")</f>
        <v/>
      </c>
      <c r="BJ177" s="146" t="str">
        <f>IF(LEN(BC177)&gt;0,VLOOKUP(BC177,'Job Codes'!$B$2:$I$120,4,FALSE),"")</f>
        <v/>
      </c>
      <c r="BK177" s="146" t="str">
        <f>IF(LEN(BC177)&gt;0,VLOOKUP(BC177,'Job Codes'!$B$2:$I$120,5,FALSE),"")</f>
        <v/>
      </c>
      <c r="BL177" s="146" t="str">
        <f>IF(LEN(BC177)&gt;0,VLOOKUP(BC177,'Job Codes'!$B$2:$I$120,6,FALSE),"")</f>
        <v/>
      </c>
      <c r="BM177" s="168">
        <f t="shared" si="117"/>
        <v>28029.87</v>
      </c>
      <c r="BN177" s="160">
        <f t="shared" si="118"/>
        <v>28029.87</v>
      </c>
      <c r="BO177" s="22" t="s">
        <v>157</v>
      </c>
      <c r="BP177" s="157">
        <f>VLOOKUP(I177,'Job Codes'!$B$2:$I$120,8,FALSE)</f>
        <v>0.05</v>
      </c>
      <c r="BQ177" s="25" t="str">
        <f>IF(O177&gt;Data!$H$33,"Yes","No")</f>
        <v>No</v>
      </c>
      <c r="BR177" s="191">
        <v>0.05</v>
      </c>
      <c r="BS177" s="150">
        <f t="shared" si="119"/>
        <v>1354.1000000000001</v>
      </c>
      <c r="BT177" s="25">
        <f t="shared" si="120"/>
        <v>1354.1000000000001</v>
      </c>
      <c r="BU177" s="161">
        <v>1</v>
      </c>
      <c r="BV177" s="168">
        <f t="shared" si="121"/>
        <v>1354.1000000000001</v>
      </c>
      <c r="BW177" s="160">
        <f t="shared" si="122"/>
        <v>1354.1000000000001</v>
      </c>
      <c r="BX177" s="149"/>
      <c r="BY177" s="32">
        <f t="shared" si="123"/>
        <v>0</v>
      </c>
      <c r="BZ177" s="22" t="s">
        <v>159</v>
      </c>
      <c r="CA177" s="231">
        <f>VLOOKUP(I177,'Job Codes'!$B$2:$J$120,9,FALSE)</f>
        <v>0</v>
      </c>
      <c r="CB177" s="253">
        <f t="shared" si="124"/>
        <v>0</v>
      </c>
      <c r="CC177" s="72"/>
      <c r="CD177" s="25" t="str">
        <f t="shared" si="125"/>
        <v>Exceeds</v>
      </c>
      <c r="CE177" s="27"/>
      <c r="CF177" s="27"/>
      <c r="CG177" s="27"/>
      <c r="CH177" s="27"/>
      <c r="CI177" s="27"/>
      <c r="CJ177" s="3"/>
      <c r="CK177" s="3"/>
      <c r="CL177" s="3">
        <v>4569</v>
      </c>
      <c r="CM177" s="3" t="s">
        <v>161</v>
      </c>
      <c r="CN177" s="3">
        <v>4571</v>
      </c>
      <c r="CO177" s="3" t="s">
        <v>162</v>
      </c>
      <c r="CP177" s="3">
        <v>12345</v>
      </c>
      <c r="CQ177" s="3" t="s">
        <v>163</v>
      </c>
      <c r="CR177" s="246" t="s">
        <v>179</v>
      </c>
      <c r="CS177" s="247" t="s">
        <v>180</v>
      </c>
      <c r="CT177" s="246" t="s">
        <v>199</v>
      </c>
      <c r="CU177" s="247" t="s">
        <v>200</v>
      </c>
      <c r="CV177" s="3" t="str">
        <f t="shared" si="126"/>
        <v>90876;36523</v>
      </c>
      <c r="CW177" s="3" t="s">
        <v>168</v>
      </c>
      <c r="CX177" s="3" t="str">
        <f t="shared" si="127"/>
        <v>;;BB177:BD177;;CC177</v>
      </c>
      <c r="CY177" s="5" t="str">
        <f t="shared" si="128"/>
        <v>Unlock</v>
      </c>
      <c r="CZ177" s="5" t="str">
        <f t="shared" si="129"/>
        <v>Lock</v>
      </c>
      <c r="DA177" s="5" t="str">
        <f t="shared" si="130"/>
        <v>Lock</v>
      </c>
      <c r="DB177" s="5" t="str">
        <f t="shared" si="131"/>
        <v>Lock</v>
      </c>
      <c r="DC177" s="5" t="str">
        <f t="shared" si="132"/>
        <v>Lock</v>
      </c>
      <c r="DD177" s="78">
        <f t="shared" si="133"/>
        <v>3</v>
      </c>
      <c r="DE177" s="2"/>
      <c r="DF177" s="2"/>
      <c r="DG177" s="2"/>
      <c r="DH177" s="2"/>
      <c r="DI177" s="2"/>
      <c r="DJ177" s="2"/>
      <c r="DK177" s="5"/>
      <c r="DL177" s="2"/>
      <c r="DM177" s="2"/>
      <c r="DN177" s="2"/>
      <c r="DO177" s="2"/>
      <c r="DP177" s="2"/>
      <c r="DQ177" s="2"/>
      <c r="DR177" s="2"/>
      <c r="DS177" s="2"/>
      <c r="DT177" s="2"/>
      <c r="DU177" s="2"/>
      <c r="DV177" s="2"/>
      <c r="DW177" s="2"/>
      <c r="DX177" s="2"/>
      <c r="DY177" s="2"/>
      <c r="DZ177" s="2"/>
      <c r="EA177" s="2"/>
      <c r="EB177" s="2"/>
      <c r="EC177" s="2"/>
      <c r="ED177" s="2"/>
      <c r="EE177" s="2"/>
      <c r="EF177" s="1"/>
      <c r="EG177" s="98"/>
      <c r="EH177" s="98"/>
      <c r="EI177" s="1"/>
      <c r="EJ177" s="1"/>
      <c r="EK177" s="98"/>
      <c r="EL177" s="1"/>
    </row>
    <row r="178" spans="1:142">
      <c r="A178" s="32">
        <f t="shared" si="92"/>
        <v>11270</v>
      </c>
      <c r="B178" s="3" t="str">
        <f t="shared" si="93"/>
        <v>sv_statement//Statement//Export Statement&amp;PDFID=Rosalie Harrold_11270&amp;SO=Y</v>
      </c>
      <c r="C178" s="5" t="str">
        <f t="shared" si="134"/>
        <v>Statement</v>
      </c>
      <c r="D178" s="5" t="str">
        <f t="shared" si="94"/>
        <v>Rosalie Harrold_11270</v>
      </c>
      <c r="E178" s="5"/>
      <c r="F178" s="5">
        <v>11270</v>
      </c>
      <c r="G178" s="22" t="s">
        <v>479</v>
      </c>
      <c r="H178" s="5" t="s">
        <v>195</v>
      </c>
      <c r="I178" s="5" t="s">
        <v>227</v>
      </c>
      <c r="J178" s="5" t="s">
        <v>208</v>
      </c>
      <c r="K178" s="5" t="s">
        <v>209</v>
      </c>
      <c r="L178" s="31">
        <f t="shared" si="95"/>
        <v>20714</v>
      </c>
      <c r="M178" s="5" t="s">
        <v>198</v>
      </c>
      <c r="N178" s="22" t="s">
        <v>155</v>
      </c>
      <c r="O178" s="100">
        <v>38460</v>
      </c>
      <c r="P178" s="146">
        <f>VLOOKUP(I178,'Job Codes'!$B$2:$I$120,4,FALSE)</f>
        <v>27000</v>
      </c>
      <c r="Q178" s="146">
        <f>VLOOKUP(I178,'Job Codes'!$B$2:$I$120,5,FALSE)</f>
        <v>35100</v>
      </c>
      <c r="R178" s="146">
        <f>VLOOKUP(I178,'Job Codes'!$B$2:$I$120,6,FALSE)</f>
        <v>42120</v>
      </c>
      <c r="S178" s="22" t="s">
        <v>171</v>
      </c>
      <c r="T178" s="146">
        <v>32760</v>
      </c>
      <c r="U178" s="8">
        <f>VLOOKUP(S178,Data!$H$22:$I$25,2,FALSE)*T178</f>
        <v>32760</v>
      </c>
      <c r="V178" s="180">
        <f t="shared" si="96"/>
        <v>0.93333333333333335</v>
      </c>
      <c r="W178" s="180">
        <f t="shared" si="97"/>
        <v>7.1428571428571425E-2</v>
      </c>
      <c r="X178" s="22" t="str">
        <f t="shared" si="98"/>
        <v>Yes</v>
      </c>
      <c r="Y178" s="180">
        <f t="shared" si="99"/>
        <v>0.02</v>
      </c>
      <c r="Z178" s="146">
        <f t="shared" si="100"/>
        <v>655.20000000000005</v>
      </c>
      <c r="AA178" s="146">
        <f t="shared" si="101"/>
        <v>655.20000000000005</v>
      </c>
      <c r="AB178" s="72"/>
      <c r="AC178" s="146">
        <f>AB178/VLOOKUP(S178,Data!$H$22:$I$25,2,FALSE)</f>
        <v>0</v>
      </c>
      <c r="AD178" s="22" t="s">
        <v>157</v>
      </c>
      <c r="AE178" s="146">
        <f>VLOOKUP(S178,Data!$H$22:$J$25,3,FALSE)*T178</f>
        <v>982.8</v>
      </c>
      <c r="AF178" s="8">
        <f>VLOOKUP(S178,Data!$H$22:$I$25,2,FALSE)*AE178</f>
        <v>982.8</v>
      </c>
      <c r="AG178" s="8" t="s">
        <v>158</v>
      </c>
      <c r="AH178" s="23">
        <v>4.4999999999999998E-2</v>
      </c>
      <c r="AI178" s="72"/>
      <c r="AJ178" s="159">
        <f t="shared" si="102"/>
        <v>4.4999999999999998E-2</v>
      </c>
      <c r="AK178" s="168">
        <f t="shared" si="135"/>
        <v>1474.2</v>
      </c>
      <c r="AL178" s="160">
        <f t="shared" si="136"/>
        <v>1474.2</v>
      </c>
      <c r="AM178" s="168">
        <f t="shared" si="103"/>
        <v>34234.199999999997</v>
      </c>
      <c r="AN178" s="160">
        <f t="shared" si="104"/>
        <v>34234.199999999997</v>
      </c>
      <c r="AO178" s="160" t="str">
        <f t="shared" si="137"/>
        <v>No</v>
      </c>
      <c r="AP178" s="146">
        <f>IF(AQ178=0,0,AQ178/VLOOKUP(S178,Data!$H$22:$I$25,2,FALSE))</f>
        <v>0</v>
      </c>
      <c r="AQ178" s="183">
        <f t="shared" si="105"/>
        <v>0</v>
      </c>
      <c r="AR178" s="165">
        <f t="shared" si="106"/>
        <v>1474.2</v>
      </c>
      <c r="AS178" s="183">
        <f t="shared" si="107"/>
        <v>1474.2</v>
      </c>
      <c r="AT178" s="250">
        <f t="shared" si="108"/>
        <v>4.4999999999999998E-2</v>
      </c>
      <c r="AU178" s="146">
        <f t="shared" si="109"/>
        <v>34234.199999999997</v>
      </c>
      <c r="AV178" s="8">
        <f t="shared" si="110"/>
        <v>34234.199999999997</v>
      </c>
      <c r="AW178" s="8" t="str">
        <f t="shared" si="111"/>
        <v/>
      </c>
      <c r="AX178" s="180">
        <f t="shared" si="112"/>
        <v>0.97533333333333327</v>
      </c>
      <c r="AY178" s="146">
        <f t="shared" si="113"/>
        <v>0</v>
      </c>
      <c r="AZ178" s="146">
        <f t="shared" si="114"/>
        <v>0</v>
      </c>
      <c r="BA178" s="22" t="s">
        <v>159</v>
      </c>
      <c r="BB178" s="149"/>
      <c r="BC178" s="149"/>
      <c r="BD178" s="144"/>
      <c r="BE178" s="146" t="str">
        <f t="shared" si="115"/>
        <v/>
      </c>
      <c r="BF178" s="8" t="str">
        <f t="shared" si="116"/>
        <v/>
      </c>
      <c r="BG178" s="8" t="str">
        <f>IF(LEN(BC178)&gt;0,VLOOKUP(BC178,'Job Codes'!B171:I289,7,FALSE),"")</f>
        <v/>
      </c>
      <c r="BH178" s="192" t="str">
        <f>IF(LEN(BC178)&gt;0,VLOOKUP(BC178,'Job Codes'!B171:I289,8,FALSE),"")</f>
        <v/>
      </c>
      <c r="BI178" s="192" t="str">
        <f>IF(LEN(BC178)&gt;0,VLOOKUP(BC178,'Job Codes'!$B$2:$J$120,9,FALSE),"")</f>
        <v/>
      </c>
      <c r="BJ178" s="146" t="str">
        <f>IF(LEN(BC178)&gt;0,VLOOKUP(BC178,'Job Codes'!$B$2:$I$120,4,FALSE),"")</f>
        <v/>
      </c>
      <c r="BK178" s="146" t="str">
        <f>IF(LEN(BC178)&gt;0,VLOOKUP(BC178,'Job Codes'!$B$2:$I$120,5,FALSE),"")</f>
        <v/>
      </c>
      <c r="BL178" s="146" t="str">
        <f>IF(LEN(BC178)&gt;0,VLOOKUP(BC178,'Job Codes'!$B$2:$I$120,6,FALSE),"")</f>
        <v/>
      </c>
      <c r="BM178" s="168">
        <f t="shared" si="117"/>
        <v>34234.199999999997</v>
      </c>
      <c r="BN178" s="160">
        <f t="shared" si="118"/>
        <v>34234.199999999997</v>
      </c>
      <c r="BO178" s="22" t="s">
        <v>157</v>
      </c>
      <c r="BP178" s="157">
        <f>VLOOKUP(I178,'Job Codes'!$B$2:$I$120,8,FALSE)</f>
        <v>0.05</v>
      </c>
      <c r="BQ178" s="25" t="str">
        <f>IF(O178&gt;Data!$H$33,"Yes","No")</f>
        <v>No</v>
      </c>
      <c r="BR178" s="191">
        <v>0.05</v>
      </c>
      <c r="BS178" s="150">
        <f t="shared" si="119"/>
        <v>1638</v>
      </c>
      <c r="BT178" s="25">
        <f t="shared" si="120"/>
        <v>1638</v>
      </c>
      <c r="BU178" s="161">
        <v>1</v>
      </c>
      <c r="BV178" s="168">
        <f t="shared" si="121"/>
        <v>1638</v>
      </c>
      <c r="BW178" s="160">
        <f t="shared" si="122"/>
        <v>1638</v>
      </c>
      <c r="BX178" s="149"/>
      <c r="BY178" s="32">
        <f t="shared" si="123"/>
        <v>0</v>
      </c>
      <c r="BZ178" s="22" t="s">
        <v>159</v>
      </c>
      <c r="CA178" s="231">
        <f>VLOOKUP(I178,'Job Codes'!$B$2:$J$120,9,FALSE)</f>
        <v>0</v>
      </c>
      <c r="CB178" s="253">
        <f t="shared" si="124"/>
        <v>0</v>
      </c>
      <c r="CC178" s="72"/>
      <c r="CD178" s="25" t="str">
        <f t="shared" si="125"/>
        <v>Exceeds</v>
      </c>
      <c r="CE178" s="27"/>
      <c r="CF178" s="27"/>
      <c r="CG178" s="27"/>
      <c r="CH178" s="27"/>
      <c r="CI178" s="27"/>
      <c r="CJ178" s="3"/>
      <c r="CK178" s="3"/>
      <c r="CL178" s="3">
        <v>4569</v>
      </c>
      <c r="CM178" s="3" t="s">
        <v>161</v>
      </c>
      <c r="CN178" s="3">
        <v>4571</v>
      </c>
      <c r="CO178" s="3" t="s">
        <v>162</v>
      </c>
      <c r="CP178" s="3">
        <v>12345</v>
      </c>
      <c r="CQ178" s="3" t="s">
        <v>163</v>
      </c>
      <c r="CR178" s="246" t="s">
        <v>179</v>
      </c>
      <c r="CS178" s="247" t="s">
        <v>180</v>
      </c>
      <c r="CT178" s="246" t="s">
        <v>199</v>
      </c>
      <c r="CU178" s="247" t="s">
        <v>200</v>
      </c>
      <c r="CV178" s="3" t="str">
        <f t="shared" si="126"/>
        <v>90876;36523</v>
      </c>
      <c r="CW178" s="3" t="s">
        <v>168</v>
      </c>
      <c r="CX178" s="3" t="str">
        <f t="shared" si="127"/>
        <v>;;BB178:BD178;;CC178</v>
      </c>
      <c r="CY178" s="5" t="str">
        <f t="shared" si="128"/>
        <v>Unlock</v>
      </c>
      <c r="CZ178" s="5" t="str">
        <f t="shared" si="129"/>
        <v>Lock</v>
      </c>
      <c r="DA178" s="5" t="str">
        <f t="shared" si="130"/>
        <v>Lock</v>
      </c>
      <c r="DB178" s="5" t="str">
        <f t="shared" si="131"/>
        <v>Lock</v>
      </c>
      <c r="DC178" s="5" t="str">
        <f t="shared" si="132"/>
        <v>Lock</v>
      </c>
      <c r="DD178" s="78">
        <f t="shared" si="133"/>
        <v>3</v>
      </c>
      <c r="DE178" s="2"/>
      <c r="DF178" s="2"/>
      <c r="DG178" s="2"/>
      <c r="DH178" s="2"/>
      <c r="DI178" s="2"/>
      <c r="DJ178" s="2"/>
      <c r="DK178" s="5"/>
      <c r="DL178" s="2"/>
      <c r="DM178" s="2"/>
      <c r="DN178" s="2"/>
      <c r="DO178" s="2"/>
      <c r="DP178" s="2"/>
      <c r="DQ178" s="2"/>
      <c r="DR178" s="2"/>
      <c r="DS178" s="2"/>
      <c r="DT178" s="2"/>
      <c r="DU178" s="2"/>
      <c r="DV178" s="2"/>
      <c r="DW178" s="2"/>
      <c r="DX178" s="2"/>
      <c r="DY178" s="2"/>
      <c r="DZ178" s="2"/>
      <c r="EA178" s="2"/>
      <c r="EB178" s="2"/>
      <c r="EC178" s="2"/>
      <c r="ED178" s="2"/>
      <c r="EE178" s="2"/>
      <c r="EF178" s="1"/>
      <c r="EG178" s="98"/>
      <c r="EH178" s="98"/>
      <c r="EI178" s="1"/>
      <c r="EJ178" s="1"/>
      <c r="EK178" s="98"/>
      <c r="EL178" s="1"/>
    </row>
    <row r="179" spans="1:142">
      <c r="A179" s="32">
        <f t="shared" si="92"/>
        <v>11277</v>
      </c>
      <c r="B179" s="3" t="str">
        <f t="shared" si="93"/>
        <v>sv_statement//Statement//Export Statement&amp;PDFID=Mamie Townley_11277&amp;SO=Y</v>
      </c>
      <c r="C179" s="5" t="str">
        <f t="shared" si="134"/>
        <v>Statement</v>
      </c>
      <c r="D179" s="5" t="str">
        <f t="shared" si="94"/>
        <v>Mamie Townley_11277</v>
      </c>
      <c r="E179" s="5"/>
      <c r="F179" s="5">
        <v>11277</v>
      </c>
      <c r="G179" s="22" t="s">
        <v>203</v>
      </c>
      <c r="H179" s="5" t="s">
        <v>341</v>
      </c>
      <c r="I179" s="5" t="s">
        <v>344</v>
      </c>
      <c r="J179" s="5" t="s">
        <v>152</v>
      </c>
      <c r="K179" s="5" t="s">
        <v>480</v>
      </c>
      <c r="L179" s="31">
        <f t="shared" si="95"/>
        <v>11308</v>
      </c>
      <c r="M179" s="5" t="s">
        <v>154</v>
      </c>
      <c r="N179" s="22" t="s">
        <v>155</v>
      </c>
      <c r="O179" s="100">
        <v>38462</v>
      </c>
      <c r="P179" s="146">
        <f>VLOOKUP(I179,'Job Codes'!$B$2:$I$120,4,FALSE)</f>
        <v>37000</v>
      </c>
      <c r="Q179" s="146">
        <f>VLOOKUP(I179,'Job Codes'!$B$2:$I$120,5,FALSE)</f>
        <v>48100</v>
      </c>
      <c r="R179" s="146">
        <f>VLOOKUP(I179,'Job Codes'!$B$2:$I$120,6,FALSE)</f>
        <v>57720</v>
      </c>
      <c r="S179" s="22" t="s">
        <v>171</v>
      </c>
      <c r="T179" s="146">
        <v>56780</v>
      </c>
      <c r="U179" s="8">
        <f>VLOOKUP(S179,Data!$H$22:$I$25,2,FALSE)*T179</f>
        <v>56780</v>
      </c>
      <c r="V179" s="180">
        <f t="shared" si="96"/>
        <v>1.1804573804573804</v>
      </c>
      <c r="W179" s="180">
        <f t="shared" si="97"/>
        <v>0</v>
      </c>
      <c r="X179" s="22" t="str">
        <f t="shared" si="98"/>
        <v>No</v>
      </c>
      <c r="Y179" s="180">
        <f t="shared" si="99"/>
        <v>0</v>
      </c>
      <c r="Z179" s="146">
        <f t="shared" si="100"/>
        <v>0</v>
      </c>
      <c r="AA179" s="146">
        <f t="shared" si="101"/>
        <v>0</v>
      </c>
      <c r="AB179" s="72"/>
      <c r="AC179" s="146">
        <f>AB179/VLOOKUP(S179,Data!$H$22:$I$25,2,FALSE)</f>
        <v>0</v>
      </c>
      <c r="AD179" s="22" t="s">
        <v>157</v>
      </c>
      <c r="AE179" s="146">
        <f>VLOOKUP(S179,Data!$H$22:$J$25,3,FALSE)*T179</f>
        <v>1703.3999999999999</v>
      </c>
      <c r="AF179" s="8">
        <f>VLOOKUP(S179,Data!$H$22:$I$25,2,FALSE)*AE179</f>
        <v>1703.3999999999999</v>
      </c>
      <c r="AG179" s="8" t="s">
        <v>178</v>
      </c>
      <c r="AH179" s="23">
        <v>2.1000000000000001E-2</v>
      </c>
      <c r="AI179" s="72"/>
      <c r="AJ179" s="159">
        <f t="shared" si="102"/>
        <v>2.1000000000000001E-2</v>
      </c>
      <c r="AK179" s="168">
        <f t="shared" si="135"/>
        <v>1192.3800000000001</v>
      </c>
      <c r="AL179" s="160">
        <f t="shared" si="136"/>
        <v>1192.3800000000001</v>
      </c>
      <c r="AM179" s="168">
        <f t="shared" si="103"/>
        <v>57972.38</v>
      </c>
      <c r="AN179" s="160">
        <f t="shared" si="104"/>
        <v>57972.38</v>
      </c>
      <c r="AO179" s="160" t="str">
        <f t="shared" si="137"/>
        <v>Yes by USD 252</v>
      </c>
      <c r="AP179" s="146">
        <f>IF(AQ179=0,0,AQ179/VLOOKUP(S179,Data!$H$22:$I$25,2,FALSE))</f>
        <v>252.37999999999738</v>
      </c>
      <c r="AQ179" s="183">
        <f t="shared" si="105"/>
        <v>252.37999999999738</v>
      </c>
      <c r="AR179" s="165">
        <f t="shared" si="106"/>
        <v>940.00000000000273</v>
      </c>
      <c r="AS179" s="183">
        <f t="shared" si="107"/>
        <v>940.00000000000273</v>
      </c>
      <c r="AT179" s="250">
        <f t="shared" si="108"/>
        <v>1.6555125044029635E-2</v>
      </c>
      <c r="AU179" s="146">
        <f t="shared" si="109"/>
        <v>57720</v>
      </c>
      <c r="AV179" s="8">
        <f t="shared" si="110"/>
        <v>57720</v>
      </c>
      <c r="AW179" s="8" t="str">
        <f t="shared" si="111"/>
        <v>Employee to receive part of proposed increase as a lump sum</v>
      </c>
      <c r="AX179" s="180">
        <f t="shared" si="112"/>
        <v>1.2</v>
      </c>
      <c r="AY179" s="146">
        <f t="shared" si="113"/>
        <v>0</v>
      </c>
      <c r="AZ179" s="146">
        <f t="shared" si="114"/>
        <v>0</v>
      </c>
      <c r="BA179" s="22" t="s">
        <v>159</v>
      </c>
      <c r="BB179" s="149"/>
      <c r="BC179" s="149"/>
      <c r="BD179" s="144"/>
      <c r="BE179" s="146" t="str">
        <f t="shared" si="115"/>
        <v/>
      </c>
      <c r="BF179" s="8" t="str">
        <f t="shared" si="116"/>
        <v/>
      </c>
      <c r="BG179" s="8" t="str">
        <f>IF(LEN(BC179)&gt;0,VLOOKUP(BC179,'Job Codes'!B172:I290,7,FALSE),"")</f>
        <v/>
      </c>
      <c r="BH179" s="192" t="str">
        <f>IF(LEN(BC179)&gt;0,VLOOKUP(BC179,'Job Codes'!B172:I290,8,FALSE),"")</f>
        <v/>
      </c>
      <c r="BI179" s="192" t="str">
        <f>IF(LEN(BC179)&gt;0,VLOOKUP(BC179,'Job Codes'!$B$2:$J$120,9,FALSE),"")</f>
        <v/>
      </c>
      <c r="BJ179" s="146" t="str">
        <f>IF(LEN(BC179)&gt;0,VLOOKUP(BC179,'Job Codes'!$B$2:$I$120,4,FALSE),"")</f>
        <v/>
      </c>
      <c r="BK179" s="146" t="str">
        <f>IF(LEN(BC179)&gt;0,VLOOKUP(BC179,'Job Codes'!$B$2:$I$120,5,FALSE),"")</f>
        <v/>
      </c>
      <c r="BL179" s="146" t="str">
        <f>IF(LEN(BC179)&gt;0,VLOOKUP(BC179,'Job Codes'!$B$2:$I$120,6,FALSE),"")</f>
        <v/>
      </c>
      <c r="BM179" s="168">
        <f t="shared" si="117"/>
        <v>57720</v>
      </c>
      <c r="BN179" s="160">
        <f t="shared" si="118"/>
        <v>57720</v>
      </c>
      <c r="BO179" s="22" t="s">
        <v>157</v>
      </c>
      <c r="BP179" s="157">
        <f>VLOOKUP(I179,'Job Codes'!$B$2:$I$120,8,FALSE)</f>
        <v>0.15</v>
      </c>
      <c r="BQ179" s="25" t="str">
        <f>IF(O179&gt;Data!$H$33,"Yes","No")</f>
        <v>No</v>
      </c>
      <c r="BR179" s="191">
        <v>0.15</v>
      </c>
      <c r="BS179" s="150">
        <f t="shared" si="119"/>
        <v>8517</v>
      </c>
      <c r="BT179" s="25">
        <f t="shared" si="120"/>
        <v>8517</v>
      </c>
      <c r="BU179" s="161">
        <v>1</v>
      </c>
      <c r="BV179" s="168">
        <f t="shared" si="121"/>
        <v>8517</v>
      </c>
      <c r="BW179" s="160">
        <f t="shared" si="122"/>
        <v>8517</v>
      </c>
      <c r="BX179" s="149"/>
      <c r="BY179" s="32">
        <f t="shared" si="123"/>
        <v>0</v>
      </c>
      <c r="BZ179" s="22" t="s">
        <v>157</v>
      </c>
      <c r="CA179" s="231">
        <f>VLOOKUP(I179,'Job Codes'!$B$2:$J$120,9,FALSE)</f>
        <v>0.15</v>
      </c>
      <c r="CB179" s="253">
        <f t="shared" si="124"/>
        <v>8517</v>
      </c>
      <c r="CC179" s="72"/>
      <c r="CD179" s="25" t="str">
        <f t="shared" si="125"/>
        <v>Meets</v>
      </c>
      <c r="CE179" s="27"/>
      <c r="CF179" s="27"/>
      <c r="CG179" s="27"/>
      <c r="CH179" s="27"/>
      <c r="CI179" s="27"/>
      <c r="CJ179" s="3"/>
      <c r="CK179" s="3"/>
      <c r="CL179" s="3">
        <v>4569</v>
      </c>
      <c r="CM179" s="3" t="s">
        <v>161</v>
      </c>
      <c r="CN179" s="3">
        <v>4571</v>
      </c>
      <c r="CO179" s="3" t="s">
        <v>162</v>
      </c>
      <c r="CP179" s="3">
        <v>12345</v>
      </c>
      <c r="CQ179" s="3" t="s">
        <v>163</v>
      </c>
      <c r="CR179" s="246" t="s">
        <v>179</v>
      </c>
      <c r="CS179" s="247" t="s">
        <v>180</v>
      </c>
      <c r="CT179" s="246" t="s">
        <v>199</v>
      </c>
      <c r="CU179" s="247" t="s">
        <v>200</v>
      </c>
      <c r="CV179" s="3" t="str">
        <f t="shared" si="126"/>
        <v>90876;36523</v>
      </c>
      <c r="CW179" s="3" t="s">
        <v>168</v>
      </c>
      <c r="CX179" s="3" t="str">
        <f t="shared" si="127"/>
        <v>AB179;;BB179:BD179;;</v>
      </c>
      <c r="CY179" s="5" t="str">
        <f t="shared" si="128"/>
        <v>Unlock</v>
      </c>
      <c r="CZ179" s="5" t="str">
        <f t="shared" si="129"/>
        <v>Lock</v>
      </c>
      <c r="DA179" s="5" t="str">
        <f t="shared" si="130"/>
        <v>Lock</v>
      </c>
      <c r="DB179" s="5" t="str">
        <f t="shared" si="131"/>
        <v>Lock</v>
      </c>
      <c r="DC179" s="5" t="str">
        <f t="shared" si="132"/>
        <v>Lock</v>
      </c>
      <c r="DD179" s="78">
        <f t="shared" si="133"/>
        <v>3</v>
      </c>
      <c r="DE179" s="2"/>
      <c r="DF179" s="2"/>
      <c r="DG179" s="2"/>
      <c r="DH179" s="2"/>
      <c r="DI179" s="2"/>
      <c r="DJ179" s="2"/>
      <c r="DK179" s="5"/>
      <c r="DL179" s="2"/>
      <c r="DM179" s="2"/>
      <c r="DN179" s="2"/>
      <c r="DO179" s="2"/>
      <c r="DP179" s="2"/>
      <c r="DQ179" s="2"/>
      <c r="DR179" s="2"/>
      <c r="DS179" s="2"/>
      <c r="DT179" s="2"/>
      <c r="DU179" s="2"/>
      <c r="DV179" s="2"/>
      <c r="DW179" s="2"/>
      <c r="DX179" s="2"/>
      <c r="DY179" s="2"/>
      <c r="DZ179" s="2"/>
      <c r="EA179" s="2"/>
      <c r="EB179" s="2"/>
      <c r="EC179" s="2"/>
      <c r="ED179" s="2"/>
      <c r="EE179" s="2"/>
      <c r="EF179" s="1"/>
      <c r="EG179" s="98"/>
      <c r="EH179" s="98"/>
      <c r="EI179" s="1"/>
      <c r="EJ179" s="1"/>
      <c r="EK179" s="98"/>
      <c r="EL179" s="1"/>
    </row>
    <row r="180" spans="1:142">
      <c r="A180" s="32">
        <f t="shared" si="92"/>
        <v>11308</v>
      </c>
      <c r="B180" s="3" t="str">
        <f t="shared" si="93"/>
        <v>sv_statement//Statement//Export Statement&amp;PDFID=Todd Falco_11308&amp;SO=Y</v>
      </c>
      <c r="C180" s="5" t="str">
        <f t="shared" si="134"/>
        <v>Statement</v>
      </c>
      <c r="D180" s="5" t="str">
        <f t="shared" si="94"/>
        <v>Todd Falco_11308</v>
      </c>
      <c r="E180" s="5"/>
      <c r="F180" s="5">
        <v>11308</v>
      </c>
      <c r="G180" s="22" t="s">
        <v>154</v>
      </c>
      <c r="H180" s="5"/>
      <c r="I180" s="5" t="s">
        <v>481</v>
      </c>
      <c r="J180" s="5" t="s">
        <v>152</v>
      </c>
      <c r="K180" s="5" t="s">
        <v>193</v>
      </c>
      <c r="L180" s="31">
        <f t="shared" si="95"/>
        <v>4569</v>
      </c>
      <c r="M180" s="5" t="s">
        <v>161</v>
      </c>
      <c r="N180" s="22" t="s">
        <v>155</v>
      </c>
      <c r="O180" s="100">
        <v>38468</v>
      </c>
      <c r="P180" s="146">
        <f>VLOOKUP(I180,'Job Codes'!$B$2:$I$120,4,FALSE)</f>
        <v>58000</v>
      </c>
      <c r="Q180" s="146">
        <f>VLOOKUP(I180,'Job Codes'!$B$2:$I$120,5,FALSE)</f>
        <v>75400</v>
      </c>
      <c r="R180" s="146">
        <f>VLOOKUP(I180,'Job Codes'!$B$2:$I$120,6,FALSE)</f>
        <v>90480</v>
      </c>
      <c r="S180" s="22" t="s">
        <v>171</v>
      </c>
      <c r="T180" s="146">
        <v>62345</v>
      </c>
      <c r="U180" s="8">
        <f>VLOOKUP(S180,Data!$H$22:$I$25,2,FALSE)*T180</f>
        <v>62345</v>
      </c>
      <c r="V180" s="180">
        <f t="shared" si="96"/>
        <v>0.82685676392572949</v>
      </c>
      <c r="W180" s="180">
        <f t="shared" si="97"/>
        <v>0.209399310289518</v>
      </c>
      <c r="X180" s="22" t="str">
        <f t="shared" si="98"/>
        <v>Yes</v>
      </c>
      <c r="Y180" s="180">
        <f t="shared" si="99"/>
        <v>0.02</v>
      </c>
      <c r="Z180" s="146">
        <f t="shared" si="100"/>
        <v>1246.9000000000001</v>
      </c>
      <c r="AA180" s="146">
        <f t="shared" si="101"/>
        <v>1246.9000000000001</v>
      </c>
      <c r="AB180" s="72"/>
      <c r="AC180" s="146">
        <f>AB180/VLOOKUP(S180,Data!$H$22:$I$25,2,FALSE)</f>
        <v>0</v>
      </c>
      <c r="AD180" s="22" t="s">
        <v>157</v>
      </c>
      <c r="AE180" s="146">
        <f>VLOOKUP(S180,Data!$H$22:$J$25,3,FALSE)*T180</f>
        <v>1870.35</v>
      </c>
      <c r="AF180" s="8">
        <f>VLOOKUP(S180,Data!$H$22:$I$25,2,FALSE)*AE180</f>
        <v>1870.35</v>
      </c>
      <c r="AG180" s="8" t="s">
        <v>158</v>
      </c>
      <c r="AH180" s="23">
        <v>2.5000000000000001E-2</v>
      </c>
      <c r="AI180" s="72"/>
      <c r="AJ180" s="159">
        <f t="shared" si="102"/>
        <v>2.5000000000000001E-2</v>
      </c>
      <c r="AK180" s="168">
        <f t="shared" si="135"/>
        <v>1558.625</v>
      </c>
      <c r="AL180" s="160">
        <f t="shared" si="136"/>
        <v>1558.625</v>
      </c>
      <c r="AM180" s="168">
        <f t="shared" si="103"/>
        <v>63903.625</v>
      </c>
      <c r="AN180" s="160">
        <f t="shared" si="104"/>
        <v>63903.625</v>
      </c>
      <c r="AO180" s="160" t="str">
        <f t="shared" si="137"/>
        <v>No</v>
      </c>
      <c r="AP180" s="146">
        <f>IF(AQ180=0,0,AQ180/VLOOKUP(S180,Data!$H$22:$I$25,2,FALSE))</f>
        <v>0</v>
      </c>
      <c r="AQ180" s="183">
        <f t="shared" si="105"/>
        <v>0</v>
      </c>
      <c r="AR180" s="165">
        <f t="shared" si="106"/>
        <v>1558.625</v>
      </c>
      <c r="AS180" s="183">
        <f t="shared" si="107"/>
        <v>1558.625</v>
      </c>
      <c r="AT180" s="250">
        <f t="shared" si="108"/>
        <v>2.5000000000000001E-2</v>
      </c>
      <c r="AU180" s="146">
        <f t="shared" si="109"/>
        <v>63903.625</v>
      </c>
      <c r="AV180" s="8">
        <f t="shared" si="110"/>
        <v>63903.625</v>
      </c>
      <c r="AW180" s="8" t="str">
        <f t="shared" si="111"/>
        <v/>
      </c>
      <c r="AX180" s="180">
        <f t="shared" si="112"/>
        <v>0.84752818302387267</v>
      </c>
      <c r="AY180" s="146">
        <f t="shared" si="113"/>
        <v>0</v>
      </c>
      <c r="AZ180" s="146">
        <f t="shared" si="114"/>
        <v>0</v>
      </c>
      <c r="BA180" s="22" t="s">
        <v>159</v>
      </c>
      <c r="BB180" s="149"/>
      <c r="BC180" s="149"/>
      <c r="BD180" s="144"/>
      <c r="BE180" s="146" t="str">
        <f t="shared" si="115"/>
        <v/>
      </c>
      <c r="BF180" s="8" t="str">
        <f t="shared" si="116"/>
        <v/>
      </c>
      <c r="BG180" s="8" t="str">
        <f>IF(LEN(BC180)&gt;0,VLOOKUP(BC180,'Job Codes'!B173:I291,7,FALSE),"")</f>
        <v/>
      </c>
      <c r="BH180" s="192" t="str">
        <f>IF(LEN(BC180)&gt;0,VLOOKUP(BC180,'Job Codes'!B173:I291,8,FALSE),"")</f>
        <v/>
      </c>
      <c r="BI180" s="192" t="str">
        <f>IF(LEN(BC180)&gt;0,VLOOKUP(BC180,'Job Codes'!$B$2:$J$120,9,FALSE),"")</f>
        <v/>
      </c>
      <c r="BJ180" s="146" t="str">
        <f>IF(LEN(BC180)&gt;0,VLOOKUP(BC180,'Job Codes'!$B$2:$I$120,4,FALSE),"")</f>
        <v/>
      </c>
      <c r="BK180" s="146" t="str">
        <f>IF(LEN(BC180)&gt;0,VLOOKUP(BC180,'Job Codes'!$B$2:$I$120,5,FALSE),"")</f>
        <v/>
      </c>
      <c r="BL180" s="146" t="str">
        <f>IF(LEN(BC180)&gt;0,VLOOKUP(BC180,'Job Codes'!$B$2:$I$120,6,FALSE),"")</f>
        <v/>
      </c>
      <c r="BM180" s="168">
        <f t="shared" si="117"/>
        <v>63903.625</v>
      </c>
      <c r="BN180" s="160">
        <f t="shared" si="118"/>
        <v>63903.625</v>
      </c>
      <c r="BO180" s="22" t="s">
        <v>157</v>
      </c>
      <c r="BP180" s="157">
        <f>VLOOKUP(I180,'Job Codes'!$B$2:$I$120,8,FALSE)</f>
        <v>0.2</v>
      </c>
      <c r="BQ180" s="25" t="str">
        <f>IF(O180&gt;Data!$H$33,"Yes","No")</f>
        <v>No</v>
      </c>
      <c r="BR180" s="191">
        <v>0.2</v>
      </c>
      <c r="BS180" s="150">
        <f t="shared" si="119"/>
        <v>12469</v>
      </c>
      <c r="BT180" s="25">
        <f t="shared" si="120"/>
        <v>12469</v>
      </c>
      <c r="BU180" s="161">
        <v>1</v>
      </c>
      <c r="BV180" s="168">
        <f t="shared" si="121"/>
        <v>12469</v>
      </c>
      <c r="BW180" s="160">
        <f t="shared" si="122"/>
        <v>12469</v>
      </c>
      <c r="BX180" s="149"/>
      <c r="BY180" s="32">
        <f t="shared" si="123"/>
        <v>0</v>
      </c>
      <c r="BZ180" s="22" t="s">
        <v>157</v>
      </c>
      <c r="CA180" s="231">
        <f>VLOOKUP(I180,'Job Codes'!$B$2:$J$120,9,FALSE)</f>
        <v>0.2</v>
      </c>
      <c r="CB180" s="253">
        <f t="shared" si="124"/>
        <v>12469</v>
      </c>
      <c r="CC180" s="72"/>
      <c r="CD180" s="25" t="str">
        <f t="shared" si="125"/>
        <v>Exceeds</v>
      </c>
      <c r="CE180" s="27"/>
      <c r="CF180" s="27"/>
      <c r="CG180" s="27"/>
      <c r="CH180" s="27"/>
      <c r="CI180" s="27"/>
      <c r="CJ180" s="3"/>
      <c r="CK180" s="3"/>
      <c r="CL180" s="3"/>
      <c r="CM180" s="3"/>
      <c r="CN180" s="3">
        <v>4571</v>
      </c>
      <c r="CO180" s="3" t="s">
        <v>162</v>
      </c>
      <c r="CP180" s="3">
        <v>12345</v>
      </c>
      <c r="CQ180" s="3" t="s">
        <v>163</v>
      </c>
      <c r="CR180" s="246" t="s">
        <v>256</v>
      </c>
      <c r="CS180" s="247" t="s">
        <v>257</v>
      </c>
      <c r="CT180" s="246" t="s">
        <v>199</v>
      </c>
      <c r="CU180" s="247" t="s">
        <v>200</v>
      </c>
      <c r="CV180" s="3" t="str">
        <f t="shared" si="126"/>
        <v>86672;36523</v>
      </c>
      <c r="CW180" s="3" t="s">
        <v>168</v>
      </c>
      <c r="CX180" s="3" t="str">
        <f t="shared" si="127"/>
        <v>;;BB180:BD180;;</v>
      </c>
      <c r="CY180" s="5" t="str">
        <f t="shared" si="128"/>
        <v>Unlock</v>
      </c>
      <c r="CZ180" s="5" t="str">
        <f t="shared" si="129"/>
        <v>Lock</v>
      </c>
      <c r="DA180" s="5" t="str">
        <f t="shared" si="130"/>
        <v>Lock</v>
      </c>
      <c r="DB180" s="5" t="str">
        <f t="shared" si="131"/>
        <v>Lock</v>
      </c>
      <c r="DC180" s="5" t="str">
        <f t="shared" si="132"/>
        <v>Lock</v>
      </c>
      <c r="DD180" s="78">
        <f t="shared" si="133"/>
        <v>4</v>
      </c>
      <c r="DE180" s="2"/>
      <c r="DF180" s="2"/>
      <c r="DG180" s="2"/>
      <c r="DH180" s="2"/>
      <c r="DI180" s="2"/>
      <c r="DJ180" s="2"/>
      <c r="DK180" s="5"/>
      <c r="DL180" s="2"/>
      <c r="DM180" s="2"/>
      <c r="DN180" s="2"/>
      <c r="DO180" s="2"/>
      <c r="DP180" s="2"/>
      <c r="DQ180" s="2"/>
      <c r="DR180" s="2"/>
      <c r="DS180" s="2"/>
      <c r="DT180" s="2"/>
      <c r="DU180" s="2"/>
      <c r="DV180" s="2"/>
      <c r="DW180" s="2"/>
      <c r="DX180" s="2"/>
      <c r="DY180" s="2"/>
      <c r="DZ180" s="2"/>
      <c r="EA180" s="2"/>
      <c r="EB180" s="2"/>
      <c r="EC180" s="2"/>
      <c r="ED180" s="2"/>
      <c r="EE180" s="2"/>
      <c r="EF180" s="1"/>
      <c r="EG180" s="98"/>
      <c r="EH180" s="98"/>
      <c r="EI180" s="1"/>
      <c r="EJ180" s="1"/>
      <c r="EK180" s="98"/>
      <c r="EL180" s="1"/>
    </row>
    <row r="181" spans="1:142">
      <c r="A181" s="32">
        <f t="shared" si="92"/>
        <v>11351</v>
      </c>
      <c r="B181" s="3" t="str">
        <f t="shared" si="93"/>
        <v>sv_statement//Statement//Export Statement&amp;PDFID=Allison Felton_11351&amp;SO=Y</v>
      </c>
      <c r="C181" s="5" t="str">
        <f t="shared" si="134"/>
        <v>Statement</v>
      </c>
      <c r="D181" s="5" t="str">
        <f t="shared" si="94"/>
        <v>Allison Felton_11351</v>
      </c>
      <c r="E181" s="5"/>
      <c r="F181" s="5">
        <v>11351</v>
      </c>
      <c r="G181" s="22" t="s">
        <v>177</v>
      </c>
      <c r="H181" s="5" t="s">
        <v>150</v>
      </c>
      <c r="I181" s="5" t="s">
        <v>205</v>
      </c>
      <c r="J181" s="5" t="s">
        <v>152</v>
      </c>
      <c r="K181" s="5" t="s">
        <v>153</v>
      </c>
      <c r="L181" s="31">
        <f t="shared" si="95"/>
        <v>11308</v>
      </c>
      <c r="M181" s="5" t="s">
        <v>154</v>
      </c>
      <c r="N181" s="22" t="s">
        <v>155</v>
      </c>
      <c r="O181" s="100">
        <v>38467</v>
      </c>
      <c r="P181" s="146">
        <f>VLOOKUP(I181,'Job Codes'!$B$2:$I$120,4,FALSE)</f>
        <v>29000</v>
      </c>
      <c r="Q181" s="146">
        <f>VLOOKUP(I181,'Job Codes'!$B$2:$I$120,5,FALSE)</f>
        <v>37700</v>
      </c>
      <c r="R181" s="146">
        <f>VLOOKUP(I181,'Job Codes'!$B$2:$I$120,6,FALSE)</f>
        <v>45240</v>
      </c>
      <c r="S181" s="22" t="s">
        <v>171</v>
      </c>
      <c r="T181" s="146">
        <v>57890</v>
      </c>
      <c r="U181" s="8">
        <f>VLOOKUP(S181,Data!$H$22:$I$25,2,FALSE)*T181</f>
        <v>57890</v>
      </c>
      <c r="V181" s="180">
        <f t="shared" si="96"/>
        <v>1.5355437665782494</v>
      </c>
      <c r="W181" s="180">
        <f t="shared" si="97"/>
        <v>0</v>
      </c>
      <c r="X181" s="22" t="str">
        <f t="shared" si="98"/>
        <v>No</v>
      </c>
      <c r="Y181" s="180">
        <f t="shared" si="99"/>
        <v>0</v>
      </c>
      <c r="Z181" s="146">
        <f t="shared" si="100"/>
        <v>0</v>
      </c>
      <c r="AA181" s="146">
        <f t="shared" si="101"/>
        <v>0</v>
      </c>
      <c r="AB181" s="72"/>
      <c r="AC181" s="146">
        <f>AB181/VLOOKUP(S181,Data!$H$22:$I$25,2,FALSE)</f>
        <v>0</v>
      </c>
      <c r="AD181" s="22" t="s">
        <v>157</v>
      </c>
      <c r="AE181" s="146">
        <f>VLOOKUP(S181,Data!$H$22:$J$25,3,FALSE)*T181</f>
        <v>1736.7</v>
      </c>
      <c r="AF181" s="8">
        <f>VLOOKUP(S181,Data!$H$22:$I$25,2,FALSE)*AE181</f>
        <v>1736.7</v>
      </c>
      <c r="AG181" s="8" t="s">
        <v>158</v>
      </c>
      <c r="AH181" s="23">
        <v>0.05</v>
      </c>
      <c r="AI181" s="72"/>
      <c r="AJ181" s="159">
        <f t="shared" si="102"/>
        <v>0.05</v>
      </c>
      <c r="AK181" s="168">
        <f t="shared" si="135"/>
        <v>2894.5</v>
      </c>
      <c r="AL181" s="160">
        <f t="shared" si="136"/>
        <v>2894.5</v>
      </c>
      <c r="AM181" s="168">
        <f t="shared" si="103"/>
        <v>60784.5</v>
      </c>
      <c r="AN181" s="160">
        <f t="shared" si="104"/>
        <v>60784.5</v>
      </c>
      <c r="AO181" s="160" t="str">
        <f t="shared" si="137"/>
        <v>Yes by USD 15,545</v>
      </c>
      <c r="AP181" s="146">
        <f>IF(AQ181=0,0,AQ181/VLOOKUP(S181,Data!$H$22:$I$25,2,FALSE))</f>
        <v>2894.5</v>
      </c>
      <c r="AQ181" s="183">
        <f t="shared" si="105"/>
        <v>2894.5</v>
      </c>
      <c r="AR181" s="165">
        <f t="shared" si="106"/>
        <v>0</v>
      </c>
      <c r="AS181" s="183">
        <f t="shared" si="107"/>
        <v>0</v>
      </c>
      <c r="AT181" s="250">
        <f t="shared" si="108"/>
        <v>0</v>
      </c>
      <c r="AU181" s="146">
        <f t="shared" si="109"/>
        <v>57890</v>
      </c>
      <c r="AV181" s="8">
        <f t="shared" si="110"/>
        <v>57890</v>
      </c>
      <c r="AW181" s="8" t="str">
        <f t="shared" si="111"/>
        <v>Employee to receive full proposed merit increase as a lump sum</v>
      </c>
      <c r="AX181" s="180">
        <f t="shared" si="112"/>
        <v>1.5355437665782494</v>
      </c>
      <c r="AY181" s="146">
        <f t="shared" si="113"/>
        <v>0</v>
      </c>
      <c r="AZ181" s="146">
        <f t="shared" si="114"/>
        <v>0</v>
      </c>
      <c r="BA181" s="22" t="s">
        <v>159</v>
      </c>
      <c r="BB181" s="149"/>
      <c r="BC181" s="149"/>
      <c r="BD181" s="144"/>
      <c r="BE181" s="146" t="str">
        <f t="shared" si="115"/>
        <v/>
      </c>
      <c r="BF181" s="8" t="str">
        <f t="shared" si="116"/>
        <v/>
      </c>
      <c r="BG181" s="8" t="str">
        <f>IF(LEN(BC181)&gt;0,VLOOKUP(BC181,'Job Codes'!B174:I292,7,FALSE),"")</f>
        <v/>
      </c>
      <c r="BH181" s="192" t="str">
        <f>IF(LEN(BC181)&gt;0,VLOOKUP(BC181,'Job Codes'!B174:I292,8,FALSE),"")</f>
        <v/>
      </c>
      <c r="BI181" s="192" t="str">
        <f>IF(LEN(BC181)&gt;0,VLOOKUP(BC181,'Job Codes'!$B$2:$J$120,9,FALSE),"")</f>
        <v/>
      </c>
      <c r="BJ181" s="146" t="str">
        <f>IF(LEN(BC181)&gt;0,VLOOKUP(BC181,'Job Codes'!$B$2:$I$120,4,FALSE),"")</f>
        <v/>
      </c>
      <c r="BK181" s="146" t="str">
        <f>IF(LEN(BC181)&gt;0,VLOOKUP(BC181,'Job Codes'!$B$2:$I$120,5,FALSE),"")</f>
        <v/>
      </c>
      <c r="BL181" s="146" t="str">
        <f>IF(LEN(BC181)&gt;0,VLOOKUP(BC181,'Job Codes'!$B$2:$I$120,6,FALSE),"")</f>
        <v/>
      </c>
      <c r="BM181" s="168">
        <f t="shared" si="117"/>
        <v>57890</v>
      </c>
      <c r="BN181" s="160">
        <f t="shared" si="118"/>
        <v>57890</v>
      </c>
      <c r="BO181" s="22" t="s">
        <v>157</v>
      </c>
      <c r="BP181" s="157">
        <f>VLOOKUP(I181,'Job Codes'!$B$2:$I$120,8,FALSE)</f>
        <v>0.1</v>
      </c>
      <c r="BQ181" s="25" t="str">
        <f>IF(O181&gt;Data!$H$33,"Yes","No")</f>
        <v>No</v>
      </c>
      <c r="BR181" s="191">
        <v>0.1</v>
      </c>
      <c r="BS181" s="150">
        <f t="shared" si="119"/>
        <v>5789</v>
      </c>
      <c r="BT181" s="25">
        <f t="shared" si="120"/>
        <v>5789</v>
      </c>
      <c r="BU181" s="161">
        <v>1</v>
      </c>
      <c r="BV181" s="168">
        <f t="shared" si="121"/>
        <v>5789</v>
      </c>
      <c r="BW181" s="160">
        <f t="shared" si="122"/>
        <v>5789</v>
      </c>
      <c r="BX181" s="149"/>
      <c r="BY181" s="32">
        <f t="shared" si="123"/>
        <v>0</v>
      </c>
      <c r="BZ181" s="22" t="s">
        <v>157</v>
      </c>
      <c r="CA181" s="231">
        <f>VLOOKUP(I181,'Job Codes'!$B$2:$J$120,9,FALSE)</f>
        <v>0.05</v>
      </c>
      <c r="CB181" s="253">
        <f t="shared" si="124"/>
        <v>2894.5</v>
      </c>
      <c r="CC181" s="72"/>
      <c r="CD181" s="25" t="str">
        <f t="shared" si="125"/>
        <v>Exceeds</v>
      </c>
      <c r="CE181" s="27"/>
      <c r="CF181" s="27"/>
      <c r="CG181" s="27"/>
      <c r="CH181" s="27"/>
      <c r="CI181" s="27"/>
      <c r="CJ181" s="3"/>
      <c r="CK181" s="3"/>
      <c r="CL181" s="3">
        <v>4569</v>
      </c>
      <c r="CM181" s="3" t="s">
        <v>161</v>
      </c>
      <c r="CN181" s="3">
        <v>4571</v>
      </c>
      <c r="CO181" s="3" t="s">
        <v>162</v>
      </c>
      <c r="CP181" s="3">
        <v>12345</v>
      </c>
      <c r="CQ181" s="3" t="s">
        <v>163</v>
      </c>
      <c r="CR181" s="246" t="s">
        <v>179</v>
      </c>
      <c r="CS181" s="247" t="s">
        <v>180</v>
      </c>
      <c r="CT181" s="246" t="s">
        <v>199</v>
      </c>
      <c r="CU181" s="247" t="s">
        <v>200</v>
      </c>
      <c r="CV181" s="3" t="str">
        <f t="shared" si="126"/>
        <v>90876;36523</v>
      </c>
      <c r="CW181" s="3" t="s">
        <v>168</v>
      </c>
      <c r="CX181" s="3" t="str">
        <f t="shared" si="127"/>
        <v>AB181;;BB181:BD181;;</v>
      </c>
      <c r="CY181" s="5" t="str">
        <f t="shared" si="128"/>
        <v>Unlock</v>
      </c>
      <c r="CZ181" s="5" t="str">
        <f t="shared" si="129"/>
        <v>Lock</v>
      </c>
      <c r="DA181" s="5" t="str">
        <f t="shared" si="130"/>
        <v>Lock</v>
      </c>
      <c r="DB181" s="5" t="str">
        <f t="shared" si="131"/>
        <v>Lock</v>
      </c>
      <c r="DC181" s="5" t="str">
        <f t="shared" si="132"/>
        <v>Lock</v>
      </c>
      <c r="DD181" s="78">
        <f t="shared" si="133"/>
        <v>3</v>
      </c>
      <c r="DE181" s="2"/>
      <c r="DF181" s="2"/>
      <c r="DG181" s="2"/>
      <c r="DH181" s="2"/>
      <c r="DI181" s="2"/>
      <c r="DJ181" s="2"/>
      <c r="DK181" s="5"/>
      <c r="DL181" s="2"/>
      <c r="DM181" s="2"/>
      <c r="DN181" s="2"/>
      <c r="DO181" s="2"/>
      <c r="DP181" s="2"/>
      <c r="DQ181" s="2"/>
      <c r="DR181" s="2"/>
      <c r="DS181" s="2"/>
      <c r="DT181" s="2"/>
      <c r="DU181" s="2"/>
      <c r="DV181" s="2"/>
      <c r="DW181" s="2"/>
      <c r="DX181" s="2"/>
      <c r="DY181" s="2"/>
      <c r="DZ181" s="2"/>
      <c r="EA181" s="2"/>
      <c r="EB181" s="2"/>
      <c r="EC181" s="2"/>
      <c r="ED181" s="2"/>
      <c r="EE181" s="2"/>
      <c r="EF181" s="1"/>
      <c r="EG181" s="98"/>
      <c r="EH181" s="98"/>
      <c r="EI181" s="1"/>
      <c r="EJ181" s="1"/>
      <c r="EK181" s="98"/>
      <c r="EL181" s="1"/>
    </row>
    <row r="182" spans="1:142">
      <c r="A182" s="32">
        <f t="shared" si="92"/>
        <v>11498</v>
      </c>
      <c r="B182" s="3" t="str">
        <f t="shared" si="93"/>
        <v>sv_statement//Statement//Export Statement&amp;PDFID=John Jaworski_11498&amp;SO=Y</v>
      </c>
      <c r="C182" s="5" t="str">
        <f t="shared" si="134"/>
        <v>Statement</v>
      </c>
      <c r="D182" s="5" t="str">
        <f t="shared" si="94"/>
        <v>John Jaworski_11498</v>
      </c>
      <c r="E182" s="5"/>
      <c r="F182" s="5">
        <v>11498</v>
      </c>
      <c r="G182" s="22" t="s">
        <v>197</v>
      </c>
      <c r="H182" s="5" t="s">
        <v>195</v>
      </c>
      <c r="I182" s="5" t="s">
        <v>246</v>
      </c>
      <c r="J182" s="5" t="s">
        <v>208</v>
      </c>
      <c r="K182" s="5" t="s">
        <v>211</v>
      </c>
      <c r="L182" s="31">
        <f t="shared" si="95"/>
        <v>20714</v>
      </c>
      <c r="M182" s="5" t="s">
        <v>198</v>
      </c>
      <c r="N182" s="22" t="s">
        <v>155</v>
      </c>
      <c r="O182" s="100">
        <v>38481</v>
      </c>
      <c r="P182" s="146">
        <f>VLOOKUP(I182,'Job Codes'!$B$2:$I$120,4,FALSE)</f>
        <v>33000</v>
      </c>
      <c r="Q182" s="146">
        <f>VLOOKUP(I182,'Job Codes'!$B$2:$I$120,5,FALSE)</f>
        <v>42900</v>
      </c>
      <c r="R182" s="146">
        <f>VLOOKUP(I182,'Job Codes'!$B$2:$I$120,6,FALSE)</f>
        <v>51480</v>
      </c>
      <c r="S182" s="22" t="s">
        <v>171</v>
      </c>
      <c r="T182" s="146">
        <v>54322</v>
      </c>
      <c r="U182" s="8">
        <f>VLOOKUP(S182,Data!$H$22:$I$25,2,FALSE)*T182</f>
        <v>54322</v>
      </c>
      <c r="V182" s="180">
        <f t="shared" si="96"/>
        <v>1.2662470862470863</v>
      </c>
      <c r="W182" s="180">
        <f t="shared" si="97"/>
        <v>0</v>
      </c>
      <c r="X182" s="22" t="str">
        <f t="shared" si="98"/>
        <v>No</v>
      </c>
      <c r="Y182" s="180">
        <f t="shared" si="99"/>
        <v>0</v>
      </c>
      <c r="Z182" s="146">
        <f t="shared" si="100"/>
        <v>0</v>
      </c>
      <c r="AA182" s="146">
        <f t="shared" si="101"/>
        <v>0</v>
      </c>
      <c r="AB182" s="72"/>
      <c r="AC182" s="146">
        <f>AB182/VLOOKUP(S182,Data!$H$22:$I$25,2,FALSE)</f>
        <v>0</v>
      </c>
      <c r="AD182" s="22" t="s">
        <v>157</v>
      </c>
      <c r="AE182" s="146">
        <f>VLOOKUP(S182,Data!$H$22:$J$25,3,FALSE)*T182</f>
        <v>1629.6599999999999</v>
      </c>
      <c r="AF182" s="8">
        <f>VLOOKUP(S182,Data!$H$22:$I$25,2,FALSE)*AE182</f>
        <v>1629.6599999999999</v>
      </c>
      <c r="AG182" s="8" t="s">
        <v>178</v>
      </c>
      <c r="AH182" s="23">
        <v>0.02</v>
      </c>
      <c r="AI182" s="72"/>
      <c r="AJ182" s="159">
        <f t="shared" si="102"/>
        <v>0.02</v>
      </c>
      <c r="AK182" s="168">
        <f t="shared" si="135"/>
        <v>1086.44</v>
      </c>
      <c r="AL182" s="160">
        <f t="shared" si="136"/>
        <v>1086.44</v>
      </c>
      <c r="AM182" s="168">
        <f t="shared" si="103"/>
        <v>55408.44</v>
      </c>
      <c r="AN182" s="160">
        <f t="shared" si="104"/>
        <v>55408.44</v>
      </c>
      <c r="AO182" s="160" t="str">
        <f t="shared" si="137"/>
        <v>Yes by USD 3,928</v>
      </c>
      <c r="AP182" s="146">
        <f>IF(AQ182=0,0,AQ182/VLOOKUP(S182,Data!$H$22:$I$25,2,FALSE))</f>
        <v>1086.44</v>
      </c>
      <c r="AQ182" s="183">
        <f t="shared" si="105"/>
        <v>1086.44</v>
      </c>
      <c r="AR182" s="165">
        <f t="shared" si="106"/>
        <v>0</v>
      </c>
      <c r="AS182" s="183">
        <f t="shared" si="107"/>
        <v>0</v>
      </c>
      <c r="AT182" s="250">
        <f t="shared" si="108"/>
        <v>0</v>
      </c>
      <c r="AU182" s="146">
        <f t="shared" si="109"/>
        <v>54322</v>
      </c>
      <c r="AV182" s="8">
        <f t="shared" si="110"/>
        <v>54322</v>
      </c>
      <c r="AW182" s="8" t="str">
        <f t="shared" si="111"/>
        <v>Employee to receive full proposed merit increase as a lump sum</v>
      </c>
      <c r="AX182" s="180">
        <f t="shared" si="112"/>
        <v>1.2662470862470863</v>
      </c>
      <c r="AY182" s="146">
        <f t="shared" si="113"/>
        <v>0</v>
      </c>
      <c r="AZ182" s="146">
        <f t="shared" si="114"/>
        <v>0</v>
      </c>
      <c r="BA182" s="22" t="s">
        <v>159</v>
      </c>
      <c r="BB182" s="149"/>
      <c r="BC182" s="149"/>
      <c r="BD182" s="144"/>
      <c r="BE182" s="146" t="str">
        <f t="shared" si="115"/>
        <v/>
      </c>
      <c r="BF182" s="8" t="str">
        <f t="shared" si="116"/>
        <v/>
      </c>
      <c r="BG182" s="8" t="str">
        <f>IF(LEN(BC182)&gt;0,VLOOKUP(BC182,'Job Codes'!B175:I293,7,FALSE),"")</f>
        <v/>
      </c>
      <c r="BH182" s="192" t="str">
        <f>IF(LEN(BC182)&gt;0,VLOOKUP(BC182,'Job Codes'!B175:I293,8,FALSE),"")</f>
        <v/>
      </c>
      <c r="BI182" s="192" t="str">
        <f>IF(LEN(BC182)&gt;0,VLOOKUP(BC182,'Job Codes'!$B$2:$J$120,9,FALSE),"")</f>
        <v/>
      </c>
      <c r="BJ182" s="146" t="str">
        <f>IF(LEN(BC182)&gt;0,VLOOKUP(BC182,'Job Codes'!$B$2:$I$120,4,FALSE),"")</f>
        <v/>
      </c>
      <c r="BK182" s="146" t="str">
        <f>IF(LEN(BC182)&gt;0,VLOOKUP(BC182,'Job Codes'!$B$2:$I$120,5,FALSE),"")</f>
        <v/>
      </c>
      <c r="BL182" s="146" t="str">
        <f>IF(LEN(BC182)&gt;0,VLOOKUP(BC182,'Job Codes'!$B$2:$I$120,6,FALSE),"")</f>
        <v/>
      </c>
      <c r="BM182" s="168">
        <f t="shared" si="117"/>
        <v>54322</v>
      </c>
      <c r="BN182" s="160">
        <f t="shared" si="118"/>
        <v>54322</v>
      </c>
      <c r="BO182" s="22" t="s">
        <v>157</v>
      </c>
      <c r="BP182" s="157">
        <f>VLOOKUP(I182,'Job Codes'!$B$2:$I$120,8,FALSE)</f>
        <v>0.1</v>
      </c>
      <c r="BQ182" s="25" t="str">
        <f>IF(O182&gt;Data!$H$33,"Yes","No")</f>
        <v>No</v>
      </c>
      <c r="BR182" s="191">
        <v>0.1</v>
      </c>
      <c r="BS182" s="150">
        <f t="shared" si="119"/>
        <v>5432.2000000000007</v>
      </c>
      <c r="BT182" s="25">
        <f t="shared" si="120"/>
        <v>5432.2000000000007</v>
      </c>
      <c r="BU182" s="161">
        <v>1</v>
      </c>
      <c r="BV182" s="168">
        <f t="shared" si="121"/>
        <v>5432.2000000000007</v>
      </c>
      <c r="BW182" s="160">
        <f t="shared" si="122"/>
        <v>5432.2000000000007</v>
      </c>
      <c r="BX182" s="149"/>
      <c r="BY182" s="32">
        <f t="shared" si="123"/>
        <v>0</v>
      </c>
      <c r="BZ182" s="22" t="s">
        <v>157</v>
      </c>
      <c r="CA182" s="231">
        <f>VLOOKUP(I182,'Job Codes'!$B$2:$J$120,9,FALSE)</f>
        <v>0.1</v>
      </c>
      <c r="CB182" s="253">
        <f t="shared" si="124"/>
        <v>5432.2000000000007</v>
      </c>
      <c r="CC182" s="72"/>
      <c r="CD182" s="25" t="str">
        <f t="shared" si="125"/>
        <v>Meets</v>
      </c>
      <c r="CE182" s="27"/>
      <c r="CF182" s="27"/>
      <c r="CG182" s="27"/>
      <c r="CH182" s="27"/>
      <c r="CI182" s="27"/>
      <c r="CJ182" s="3"/>
      <c r="CK182" s="3"/>
      <c r="CL182" s="3">
        <v>4569</v>
      </c>
      <c r="CM182" s="3" t="s">
        <v>161</v>
      </c>
      <c r="CN182" s="3">
        <v>4571</v>
      </c>
      <c r="CO182" s="3" t="s">
        <v>162</v>
      </c>
      <c r="CP182" s="3">
        <v>12345</v>
      </c>
      <c r="CQ182" s="3" t="s">
        <v>163</v>
      </c>
      <c r="CR182" s="246" t="s">
        <v>179</v>
      </c>
      <c r="CS182" s="247" t="s">
        <v>180</v>
      </c>
      <c r="CT182" s="246" t="s">
        <v>199</v>
      </c>
      <c r="CU182" s="247" t="s">
        <v>200</v>
      </c>
      <c r="CV182" s="3" t="str">
        <f t="shared" si="126"/>
        <v>90876;36523</v>
      </c>
      <c r="CW182" s="3" t="s">
        <v>168</v>
      </c>
      <c r="CX182" s="3" t="str">
        <f t="shared" si="127"/>
        <v>AB182;;BB182:BD182;;</v>
      </c>
      <c r="CY182" s="5" t="str">
        <f t="shared" si="128"/>
        <v>Unlock</v>
      </c>
      <c r="CZ182" s="5" t="str">
        <f t="shared" si="129"/>
        <v>Lock</v>
      </c>
      <c r="DA182" s="5" t="str">
        <f t="shared" si="130"/>
        <v>Lock</v>
      </c>
      <c r="DB182" s="5" t="str">
        <f t="shared" si="131"/>
        <v>Lock</v>
      </c>
      <c r="DC182" s="5" t="str">
        <f t="shared" si="132"/>
        <v>Lock</v>
      </c>
      <c r="DD182" s="78">
        <f t="shared" si="133"/>
        <v>3</v>
      </c>
      <c r="DE182" s="2"/>
      <c r="DF182" s="2"/>
      <c r="DG182" s="2"/>
      <c r="DH182" s="2"/>
      <c r="DI182" s="2"/>
      <c r="DJ182" s="2"/>
      <c r="DK182" s="5"/>
      <c r="DL182" s="2"/>
      <c r="DM182" s="2"/>
      <c r="DN182" s="2"/>
      <c r="DO182" s="2"/>
      <c r="DP182" s="2"/>
      <c r="DQ182" s="2"/>
      <c r="DR182" s="2"/>
      <c r="DS182" s="2"/>
      <c r="DT182" s="2"/>
      <c r="DU182" s="2"/>
      <c r="DV182" s="2"/>
      <c r="DW182" s="2"/>
      <c r="DX182" s="2"/>
      <c r="DY182" s="2"/>
      <c r="DZ182" s="2"/>
      <c r="EA182" s="2"/>
      <c r="EB182" s="2"/>
      <c r="EC182" s="2"/>
      <c r="ED182" s="2"/>
      <c r="EE182" s="2"/>
      <c r="EF182" s="1"/>
      <c r="EG182" s="98"/>
      <c r="EH182" s="98"/>
      <c r="EI182" s="1"/>
      <c r="EJ182" s="1"/>
      <c r="EK182" s="98"/>
      <c r="EL182" s="1"/>
    </row>
    <row r="183" spans="1:142">
      <c r="A183" s="32">
        <f t="shared" si="92"/>
        <v>11987</v>
      </c>
      <c r="B183" s="3" t="str">
        <f t="shared" si="93"/>
        <v>sv_statement//Statement//Export Statement&amp;PDFID=Leonard Rambo_11987&amp;SO=Y</v>
      </c>
      <c r="C183" s="5" t="str">
        <f t="shared" si="134"/>
        <v>Statement</v>
      </c>
      <c r="D183" s="5" t="str">
        <f t="shared" si="94"/>
        <v>Leonard Rambo_11987</v>
      </c>
      <c r="E183" s="5"/>
      <c r="F183" s="5">
        <v>11987</v>
      </c>
      <c r="G183" s="22" t="s">
        <v>482</v>
      </c>
      <c r="H183" s="5" t="s">
        <v>250</v>
      </c>
      <c r="I183" s="5" t="s">
        <v>483</v>
      </c>
      <c r="J183" s="5" t="s">
        <v>252</v>
      </c>
      <c r="K183" s="5" t="s">
        <v>253</v>
      </c>
      <c r="L183" s="31">
        <f t="shared" si="95"/>
        <v>29342</v>
      </c>
      <c r="M183" s="5" t="s">
        <v>254</v>
      </c>
      <c r="N183" s="22" t="s">
        <v>155</v>
      </c>
      <c r="O183" s="100">
        <v>38019</v>
      </c>
      <c r="P183" s="146">
        <f>VLOOKUP(I183,'Job Codes'!$B$2:$I$120,4,FALSE)</f>
        <v>37000</v>
      </c>
      <c r="Q183" s="146">
        <f>VLOOKUP(I183,'Job Codes'!$B$2:$I$120,5,FALSE)</f>
        <v>48100</v>
      </c>
      <c r="R183" s="146">
        <f>VLOOKUP(I183,'Job Codes'!$B$2:$I$120,6,FALSE)</f>
        <v>57720</v>
      </c>
      <c r="S183" s="22" t="s">
        <v>171</v>
      </c>
      <c r="T183" s="146">
        <v>32864</v>
      </c>
      <c r="U183" s="8">
        <f>VLOOKUP(S183,Data!$H$22:$I$25,2,FALSE)*T183</f>
        <v>32864</v>
      </c>
      <c r="V183" s="180">
        <f t="shared" si="96"/>
        <v>0.68324324324324326</v>
      </c>
      <c r="W183" s="180">
        <f t="shared" si="97"/>
        <v>0.46360759493670883</v>
      </c>
      <c r="X183" s="22" t="str">
        <f t="shared" si="98"/>
        <v>Yes</v>
      </c>
      <c r="Y183" s="180">
        <f t="shared" si="99"/>
        <v>0.02</v>
      </c>
      <c r="Z183" s="146">
        <f t="shared" si="100"/>
        <v>657.28</v>
      </c>
      <c r="AA183" s="146">
        <f t="shared" si="101"/>
        <v>657.28</v>
      </c>
      <c r="AB183" s="72"/>
      <c r="AC183" s="146">
        <f>AB183/VLOOKUP(S183,Data!$H$22:$I$25,2,FALSE)</f>
        <v>0</v>
      </c>
      <c r="AD183" s="22" t="s">
        <v>157</v>
      </c>
      <c r="AE183" s="146">
        <f>VLOOKUP(S183,Data!$H$22:$J$25,3,FALSE)*T183</f>
        <v>985.92</v>
      </c>
      <c r="AF183" s="8">
        <f>VLOOKUP(S183,Data!$H$22:$I$25,2,FALSE)*AE183</f>
        <v>985.92</v>
      </c>
      <c r="AG183" s="8" t="s">
        <v>178</v>
      </c>
      <c r="AH183" s="23">
        <v>0.02</v>
      </c>
      <c r="AI183" s="72"/>
      <c r="AJ183" s="159">
        <f t="shared" si="102"/>
        <v>0.02</v>
      </c>
      <c r="AK183" s="168">
        <f t="shared" si="135"/>
        <v>657.28</v>
      </c>
      <c r="AL183" s="160">
        <f t="shared" si="136"/>
        <v>657.28</v>
      </c>
      <c r="AM183" s="168">
        <f t="shared" si="103"/>
        <v>33521.279999999999</v>
      </c>
      <c r="AN183" s="160">
        <f t="shared" si="104"/>
        <v>33521.279999999999</v>
      </c>
      <c r="AO183" s="160" t="str">
        <f t="shared" si="137"/>
        <v>No</v>
      </c>
      <c r="AP183" s="146">
        <f>IF(AQ183=0,0,AQ183/VLOOKUP(S183,Data!$H$22:$I$25,2,FALSE))</f>
        <v>0</v>
      </c>
      <c r="AQ183" s="183">
        <f t="shared" si="105"/>
        <v>0</v>
      </c>
      <c r="AR183" s="165">
        <f t="shared" si="106"/>
        <v>657.28</v>
      </c>
      <c r="AS183" s="183">
        <f t="shared" si="107"/>
        <v>657.28</v>
      </c>
      <c r="AT183" s="250">
        <f t="shared" si="108"/>
        <v>0.02</v>
      </c>
      <c r="AU183" s="146">
        <f t="shared" si="109"/>
        <v>33521.279999999999</v>
      </c>
      <c r="AV183" s="8">
        <f t="shared" si="110"/>
        <v>33521.279999999999</v>
      </c>
      <c r="AW183" s="8" t="str">
        <f t="shared" si="111"/>
        <v/>
      </c>
      <c r="AX183" s="180">
        <f t="shared" si="112"/>
        <v>0.6969081081081081</v>
      </c>
      <c r="AY183" s="146">
        <f t="shared" si="113"/>
        <v>0</v>
      </c>
      <c r="AZ183" s="146">
        <f t="shared" si="114"/>
        <v>0</v>
      </c>
      <c r="BA183" s="22" t="s">
        <v>159</v>
      </c>
      <c r="BB183" s="149"/>
      <c r="BC183" s="149"/>
      <c r="BD183" s="144"/>
      <c r="BE183" s="146" t="str">
        <f t="shared" si="115"/>
        <v/>
      </c>
      <c r="BF183" s="8" t="str">
        <f t="shared" si="116"/>
        <v/>
      </c>
      <c r="BG183" s="8" t="str">
        <f>IF(LEN(BC183)&gt;0,VLOOKUP(BC183,'Job Codes'!B176:I294,7,FALSE),"")</f>
        <v/>
      </c>
      <c r="BH183" s="192" t="str">
        <f>IF(LEN(BC183)&gt;0,VLOOKUP(BC183,'Job Codes'!B176:I294,8,FALSE),"")</f>
        <v/>
      </c>
      <c r="BI183" s="192" t="str">
        <f>IF(LEN(BC183)&gt;0,VLOOKUP(BC183,'Job Codes'!$B$2:$J$120,9,FALSE),"")</f>
        <v/>
      </c>
      <c r="BJ183" s="146" t="str">
        <f>IF(LEN(BC183)&gt;0,VLOOKUP(BC183,'Job Codes'!$B$2:$I$120,4,FALSE),"")</f>
        <v/>
      </c>
      <c r="BK183" s="146" t="str">
        <f>IF(LEN(BC183)&gt;0,VLOOKUP(BC183,'Job Codes'!$B$2:$I$120,5,FALSE),"")</f>
        <v/>
      </c>
      <c r="BL183" s="146" t="str">
        <f>IF(LEN(BC183)&gt;0,VLOOKUP(BC183,'Job Codes'!$B$2:$I$120,6,FALSE),"")</f>
        <v/>
      </c>
      <c r="BM183" s="168">
        <f t="shared" si="117"/>
        <v>33521.279999999999</v>
      </c>
      <c r="BN183" s="160">
        <f t="shared" si="118"/>
        <v>33521.279999999999</v>
      </c>
      <c r="BO183" s="22" t="s">
        <v>157</v>
      </c>
      <c r="BP183" s="157">
        <f>VLOOKUP(I183,'Job Codes'!$B$2:$I$120,8,FALSE)</f>
        <v>0.15</v>
      </c>
      <c r="BQ183" s="25" t="str">
        <f>IF(O183&gt;Data!$H$33,"Yes","No")</f>
        <v>No</v>
      </c>
      <c r="BR183" s="191">
        <v>0.15</v>
      </c>
      <c r="BS183" s="150">
        <f t="shared" si="119"/>
        <v>4929.5999999999995</v>
      </c>
      <c r="BT183" s="25">
        <f t="shared" si="120"/>
        <v>4929.5999999999995</v>
      </c>
      <c r="BU183" s="161">
        <v>1</v>
      </c>
      <c r="BV183" s="168">
        <f t="shared" si="121"/>
        <v>4929.5999999999995</v>
      </c>
      <c r="BW183" s="160">
        <f t="shared" si="122"/>
        <v>4929.5999999999995</v>
      </c>
      <c r="BX183" s="149"/>
      <c r="BY183" s="32">
        <f t="shared" si="123"/>
        <v>0</v>
      </c>
      <c r="BZ183" s="22" t="s">
        <v>157</v>
      </c>
      <c r="CA183" s="231">
        <f>VLOOKUP(I183,'Job Codes'!$B$2:$J$120,9,FALSE)</f>
        <v>0.15</v>
      </c>
      <c r="CB183" s="253">
        <f t="shared" si="124"/>
        <v>4929.5999999999995</v>
      </c>
      <c r="CC183" s="72"/>
      <c r="CD183" s="25" t="str">
        <f t="shared" si="125"/>
        <v>Meets</v>
      </c>
      <c r="CE183" s="27"/>
      <c r="CF183" s="27"/>
      <c r="CG183" s="27"/>
      <c r="CH183" s="27"/>
      <c r="CI183" s="27"/>
      <c r="CJ183" s="3">
        <v>29271</v>
      </c>
      <c r="CK183" s="3" t="s">
        <v>255</v>
      </c>
      <c r="CL183" s="3">
        <v>4569</v>
      </c>
      <c r="CM183" s="3" t="s">
        <v>161</v>
      </c>
      <c r="CN183" s="3">
        <v>4571</v>
      </c>
      <c r="CO183" s="3" t="s">
        <v>162</v>
      </c>
      <c r="CP183" s="3">
        <v>12345</v>
      </c>
      <c r="CQ183" s="3" t="s">
        <v>163</v>
      </c>
      <c r="CR183" s="246" t="s">
        <v>164</v>
      </c>
      <c r="CS183" s="5" t="s">
        <v>165</v>
      </c>
      <c r="CT183" s="246" t="s">
        <v>256</v>
      </c>
      <c r="CU183" s="247" t="s">
        <v>257</v>
      </c>
      <c r="CV183" s="3" t="str">
        <f t="shared" si="126"/>
        <v>67890;86672</v>
      </c>
      <c r="CW183" s="3" t="s">
        <v>168</v>
      </c>
      <c r="CX183" s="3" t="str">
        <f t="shared" si="127"/>
        <v>;;BB183:BD183;;</v>
      </c>
      <c r="CY183" s="5" t="str">
        <f t="shared" si="128"/>
        <v>Unlock</v>
      </c>
      <c r="CZ183" s="5" t="str">
        <f t="shared" si="129"/>
        <v>Lock</v>
      </c>
      <c r="DA183" s="5" t="str">
        <f t="shared" si="130"/>
        <v>Lock</v>
      </c>
      <c r="DB183" s="5" t="str">
        <f t="shared" si="131"/>
        <v>Lock</v>
      </c>
      <c r="DC183" s="5" t="str">
        <f t="shared" si="132"/>
        <v>Lock</v>
      </c>
      <c r="DD183" s="78">
        <f t="shared" si="133"/>
        <v>2</v>
      </c>
      <c r="DE183" s="2"/>
      <c r="DF183" s="2"/>
      <c r="DG183" s="2"/>
      <c r="DH183" s="2"/>
      <c r="DI183" s="2"/>
      <c r="DJ183" s="2"/>
      <c r="DK183" s="5"/>
      <c r="DL183" s="2"/>
      <c r="DM183" s="2"/>
      <c r="DN183" s="2"/>
      <c r="DO183" s="2"/>
      <c r="DP183" s="2"/>
      <c r="DQ183" s="2"/>
      <c r="DR183" s="2"/>
      <c r="DS183" s="2"/>
      <c r="DT183" s="2"/>
      <c r="DU183" s="2"/>
      <c r="DV183" s="2"/>
      <c r="DW183" s="2"/>
      <c r="DX183" s="2"/>
      <c r="DY183" s="2"/>
      <c r="DZ183" s="2"/>
      <c r="EA183" s="2"/>
      <c r="EB183" s="2"/>
      <c r="EC183" s="2"/>
      <c r="ED183" s="2"/>
      <c r="EE183" s="2"/>
      <c r="EF183" s="1"/>
      <c r="EG183" s="98"/>
      <c r="EH183" s="98"/>
      <c r="EI183" s="1"/>
      <c r="EJ183" s="1"/>
      <c r="EK183" s="98"/>
      <c r="EL183" s="1"/>
    </row>
    <row r="184" spans="1:142">
      <c r="A184" s="32">
        <f t="shared" si="92"/>
        <v>16874</v>
      </c>
      <c r="B184" s="3" t="str">
        <f t="shared" si="93"/>
        <v>sv_statement//Statement//Export Statement&amp;PDFID=Carlos Boisvert_16874&amp;SO=Y</v>
      </c>
      <c r="C184" s="5" t="str">
        <f t="shared" si="134"/>
        <v>Statement</v>
      </c>
      <c r="D184" s="5" t="str">
        <f t="shared" si="94"/>
        <v>Carlos Boisvert_16874</v>
      </c>
      <c r="E184" s="5"/>
      <c r="F184" s="5">
        <v>16874</v>
      </c>
      <c r="G184" s="22" t="s">
        <v>484</v>
      </c>
      <c r="H184" s="5" t="s">
        <v>214</v>
      </c>
      <c r="I184" s="5" t="s">
        <v>485</v>
      </c>
      <c r="J184" s="5" t="s">
        <v>208</v>
      </c>
      <c r="K184" s="5" t="s">
        <v>211</v>
      </c>
      <c r="L184" s="31">
        <f t="shared" si="95"/>
        <v>11498</v>
      </c>
      <c r="M184" s="5" t="s">
        <v>197</v>
      </c>
      <c r="N184" s="22" t="s">
        <v>155</v>
      </c>
      <c r="O184" s="100">
        <v>36812</v>
      </c>
      <c r="P184" s="146">
        <f>VLOOKUP(I184,'Job Codes'!$B$2:$I$120,4,FALSE)</f>
        <v>23000</v>
      </c>
      <c r="Q184" s="146">
        <f>VLOOKUP(I184,'Job Codes'!$B$2:$I$120,5,FALSE)</f>
        <v>29900</v>
      </c>
      <c r="R184" s="146">
        <f>VLOOKUP(I184,'Job Codes'!$B$2:$I$120,6,FALSE)</f>
        <v>35880</v>
      </c>
      <c r="S184" s="22" t="s">
        <v>171</v>
      </c>
      <c r="T184" s="146">
        <v>31242</v>
      </c>
      <c r="U184" s="8">
        <f>VLOOKUP(S184,Data!$H$22:$I$25,2,FALSE)*T184</f>
        <v>31242</v>
      </c>
      <c r="V184" s="180">
        <f t="shared" si="96"/>
        <v>1.0448829431438127</v>
      </c>
      <c r="W184" s="180">
        <f t="shared" si="97"/>
        <v>0</v>
      </c>
      <c r="X184" s="22" t="str">
        <f t="shared" si="98"/>
        <v>No</v>
      </c>
      <c r="Y184" s="180">
        <f t="shared" si="99"/>
        <v>0</v>
      </c>
      <c r="Z184" s="146">
        <f t="shared" si="100"/>
        <v>0</v>
      </c>
      <c r="AA184" s="146">
        <f t="shared" si="101"/>
        <v>0</v>
      </c>
      <c r="AB184" s="72"/>
      <c r="AC184" s="146">
        <f>AB184/VLOOKUP(S184,Data!$H$22:$I$25,2,FALSE)</f>
        <v>0</v>
      </c>
      <c r="AD184" s="22" t="s">
        <v>157</v>
      </c>
      <c r="AE184" s="146">
        <f>VLOOKUP(S184,Data!$H$22:$J$25,3,FALSE)*T184</f>
        <v>937.26</v>
      </c>
      <c r="AF184" s="8">
        <f>VLOOKUP(S184,Data!$H$22:$I$25,2,FALSE)*AE184</f>
        <v>937.26</v>
      </c>
      <c r="AG184" s="8" t="s">
        <v>178</v>
      </c>
      <c r="AH184" s="23">
        <v>0.02</v>
      </c>
      <c r="AI184" s="72"/>
      <c r="AJ184" s="159">
        <f t="shared" si="102"/>
        <v>0.02</v>
      </c>
      <c r="AK184" s="168">
        <f t="shared" si="135"/>
        <v>624.84</v>
      </c>
      <c r="AL184" s="160">
        <f t="shared" si="136"/>
        <v>624.84</v>
      </c>
      <c r="AM184" s="168">
        <f t="shared" si="103"/>
        <v>31866.84</v>
      </c>
      <c r="AN184" s="160">
        <f t="shared" si="104"/>
        <v>31866.84</v>
      </c>
      <c r="AO184" s="160" t="str">
        <f t="shared" si="137"/>
        <v>No</v>
      </c>
      <c r="AP184" s="146">
        <f>IF(AQ184=0,0,AQ184/VLOOKUP(S184,Data!$H$22:$I$25,2,FALSE))</f>
        <v>0</v>
      </c>
      <c r="AQ184" s="183">
        <f t="shared" si="105"/>
        <v>0</v>
      </c>
      <c r="AR184" s="165">
        <f t="shared" si="106"/>
        <v>624.84</v>
      </c>
      <c r="AS184" s="183">
        <f t="shared" si="107"/>
        <v>624.84</v>
      </c>
      <c r="AT184" s="250">
        <f t="shared" si="108"/>
        <v>0.02</v>
      </c>
      <c r="AU184" s="146">
        <f t="shared" si="109"/>
        <v>31866.84</v>
      </c>
      <c r="AV184" s="8">
        <f t="shared" si="110"/>
        <v>31866.84</v>
      </c>
      <c r="AW184" s="8" t="str">
        <f t="shared" si="111"/>
        <v/>
      </c>
      <c r="AX184" s="180">
        <f t="shared" si="112"/>
        <v>1.0657806020066889</v>
      </c>
      <c r="AY184" s="146">
        <f t="shared" si="113"/>
        <v>0</v>
      </c>
      <c r="AZ184" s="146">
        <f t="shared" si="114"/>
        <v>0</v>
      </c>
      <c r="BA184" s="22" t="s">
        <v>159</v>
      </c>
      <c r="BB184" s="149"/>
      <c r="BC184" s="149"/>
      <c r="BD184" s="144"/>
      <c r="BE184" s="146" t="str">
        <f t="shared" si="115"/>
        <v/>
      </c>
      <c r="BF184" s="8" t="str">
        <f t="shared" si="116"/>
        <v/>
      </c>
      <c r="BG184" s="8" t="str">
        <f>IF(LEN(BC184)&gt;0,VLOOKUP(BC184,'Job Codes'!B177:I295,7,FALSE),"")</f>
        <v/>
      </c>
      <c r="BH184" s="192" t="str">
        <f>IF(LEN(BC184)&gt;0,VLOOKUP(BC184,'Job Codes'!B177:I295,8,FALSE),"")</f>
        <v/>
      </c>
      <c r="BI184" s="192" t="str">
        <f>IF(LEN(BC184)&gt;0,VLOOKUP(BC184,'Job Codes'!$B$2:$J$120,9,FALSE),"")</f>
        <v/>
      </c>
      <c r="BJ184" s="146" t="str">
        <f>IF(LEN(BC184)&gt;0,VLOOKUP(BC184,'Job Codes'!$B$2:$I$120,4,FALSE),"")</f>
        <v/>
      </c>
      <c r="BK184" s="146" t="str">
        <f>IF(LEN(BC184)&gt;0,VLOOKUP(BC184,'Job Codes'!$B$2:$I$120,5,FALSE),"")</f>
        <v/>
      </c>
      <c r="BL184" s="146" t="str">
        <f>IF(LEN(BC184)&gt;0,VLOOKUP(BC184,'Job Codes'!$B$2:$I$120,6,FALSE),"")</f>
        <v/>
      </c>
      <c r="BM184" s="168">
        <f t="shared" si="117"/>
        <v>31866.84</v>
      </c>
      <c r="BN184" s="160">
        <f t="shared" si="118"/>
        <v>31866.84</v>
      </c>
      <c r="BO184" s="22" t="s">
        <v>159</v>
      </c>
      <c r="BP184" s="157">
        <f>VLOOKUP(I184,'Job Codes'!$B$2:$I$120,8,FALSE)</f>
        <v>0</v>
      </c>
      <c r="BQ184" s="25" t="str">
        <f>IF(O184&gt;Data!$H$33,"Yes","No")</f>
        <v>No</v>
      </c>
      <c r="BR184" s="191">
        <v>0</v>
      </c>
      <c r="BS184" s="150">
        <f t="shared" si="119"/>
        <v>0</v>
      </c>
      <c r="BT184" s="25">
        <f t="shared" si="120"/>
        <v>0</v>
      </c>
      <c r="BU184" s="161">
        <v>1</v>
      </c>
      <c r="BV184" s="168">
        <f t="shared" si="121"/>
        <v>0</v>
      </c>
      <c r="BW184" s="160">
        <f t="shared" si="122"/>
        <v>0</v>
      </c>
      <c r="BX184" s="149"/>
      <c r="BY184" s="32">
        <f t="shared" si="123"/>
        <v>0</v>
      </c>
      <c r="BZ184" s="22" t="s">
        <v>159</v>
      </c>
      <c r="CA184" s="231">
        <f>VLOOKUP(I184,'Job Codes'!$B$2:$J$120,9,FALSE)</f>
        <v>0</v>
      </c>
      <c r="CB184" s="253">
        <f t="shared" si="124"/>
        <v>0</v>
      </c>
      <c r="CC184" s="72"/>
      <c r="CD184" s="25" t="str">
        <f t="shared" si="125"/>
        <v>Meets</v>
      </c>
      <c r="CE184" s="27"/>
      <c r="CF184" s="27"/>
      <c r="CG184" s="27"/>
      <c r="CH184" s="27"/>
      <c r="CI184" s="27"/>
      <c r="CJ184" s="3">
        <v>20714</v>
      </c>
      <c r="CK184" s="3" t="s">
        <v>198</v>
      </c>
      <c r="CL184" s="3">
        <v>4569</v>
      </c>
      <c r="CM184" s="3" t="s">
        <v>161</v>
      </c>
      <c r="CN184" s="3">
        <v>4571</v>
      </c>
      <c r="CO184" s="3" t="s">
        <v>162</v>
      </c>
      <c r="CP184" s="3">
        <v>12345</v>
      </c>
      <c r="CQ184" s="3" t="s">
        <v>163</v>
      </c>
      <c r="CR184" s="246" t="s">
        <v>166</v>
      </c>
      <c r="CS184" s="247" t="s">
        <v>167</v>
      </c>
      <c r="CT184" s="246" t="s">
        <v>199</v>
      </c>
      <c r="CU184" s="247" t="s">
        <v>200</v>
      </c>
      <c r="CV184" s="3" t="str">
        <f t="shared" si="126"/>
        <v>99485;36523</v>
      </c>
      <c r="CW184" s="3" t="s">
        <v>168</v>
      </c>
      <c r="CX184" s="3" t="str">
        <f t="shared" si="127"/>
        <v>AB184;;BB184:BD184;BU184;BX184</v>
      </c>
      <c r="CY184" s="5" t="str">
        <f t="shared" si="128"/>
        <v>Unlock</v>
      </c>
      <c r="CZ184" s="5" t="str">
        <f t="shared" si="129"/>
        <v>Lock</v>
      </c>
      <c r="DA184" s="5" t="str">
        <f t="shared" si="130"/>
        <v>Lock</v>
      </c>
      <c r="DB184" s="5" t="str">
        <f t="shared" si="131"/>
        <v>Lock</v>
      </c>
      <c r="DC184" s="5" t="str">
        <f t="shared" si="132"/>
        <v>Lock</v>
      </c>
      <c r="DD184" s="78">
        <f t="shared" si="133"/>
        <v>2</v>
      </c>
      <c r="DE184" s="2"/>
      <c r="DF184" s="2"/>
      <c r="DG184" s="2"/>
      <c r="DH184" s="2"/>
      <c r="DI184" s="2"/>
      <c r="DJ184" s="2"/>
      <c r="DK184" s="5"/>
      <c r="DL184" s="2"/>
      <c r="DM184" s="2"/>
      <c r="DN184" s="2"/>
      <c r="DO184" s="2"/>
      <c r="DP184" s="2"/>
      <c r="DQ184" s="2"/>
      <c r="DR184" s="2"/>
      <c r="DS184" s="2"/>
      <c r="DT184" s="2"/>
      <c r="DU184" s="2"/>
      <c r="DV184" s="2"/>
      <c r="DW184" s="2"/>
      <c r="DX184" s="2"/>
      <c r="DY184" s="2"/>
      <c r="DZ184" s="2"/>
      <c r="EA184" s="2"/>
      <c r="EB184" s="2"/>
      <c r="EC184" s="2"/>
      <c r="ED184" s="2"/>
      <c r="EE184" s="2"/>
      <c r="EF184" s="1"/>
      <c r="EG184" s="98"/>
      <c r="EH184" s="98"/>
      <c r="EI184" s="1"/>
      <c r="EJ184" s="1"/>
      <c r="EK184" s="98"/>
      <c r="EL184" s="1"/>
    </row>
    <row r="185" spans="1:142">
      <c r="A185" s="32">
        <f t="shared" si="92"/>
        <v>16878</v>
      </c>
      <c r="B185" s="3" t="str">
        <f t="shared" si="93"/>
        <v>sv_statement//Statement//Export Statement&amp;PDFID=Sharon Mireles_16878&amp;SO=Y</v>
      </c>
      <c r="C185" s="5" t="str">
        <f t="shared" si="134"/>
        <v>Statement</v>
      </c>
      <c r="D185" s="5" t="str">
        <f t="shared" si="94"/>
        <v>Sharon Mireles_16878</v>
      </c>
      <c r="E185" s="5"/>
      <c r="F185" s="5">
        <v>16878</v>
      </c>
      <c r="G185" s="22" t="s">
        <v>486</v>
      </c>
      <c r="H185" s="5" t="s">
        <v>367</v>
      </c>
      <c r="I185" s="5" t="s">
        <v>368</v>
      </c>
      <c r="J185" s="5" t="s">
        <v>252</v>
      </c>
      <c r="K185" s="5" t="s">
        <v>333</v>
      </c>
      <c r="L185" s="31">
        <f t="shared" si="95"/>
        <v>29326</v>
      </c>
      <c r="M185" s="5" t="s">
        <v>334</v>
      </c>
      <c r="N185" s="22" t="s">
        <v>155</v>
      </c>
      <c r="O185" s="100">
        <v>38246</v>
      </c>
      <c r="P185" s="146">
        <f>VLOOKUP(I185,'Job Codes'!$B$2:$I$120,4,FALSE)</f>
        <v>20000</v>
      </c>
      <c r="Q185" s="146">
        <f>VLOOKUP(I185,'Job Codes'!$B$2:$I$120,5,FALSE)</f>
        <v>26000</v>
      </c>
      <c r="R185" s="146">
        <f>VLOOKUP(I185,'Job Codes'!$B$2:$I$120,6,FALSE)</f>
        <v>31200</v>
      </c>
      <c r="S185" s="22" t="s">
        <v>171</v>
      </c>
      <c r="T185" s="146">
        <v>28683</v>
      </c>
      <c r="U185" s="8">
        <f>VLOOKUP(S185,Data!$H$22:$I$25,2,FALSE)*T185</f>
        <v>28683</v>
      </c>
      <c r="V185" s="180">
        <f t="shared" si="96"/>
        <v>1.1031923076923076</v>
      </c>
      <c r="W185" s="180">
        <f t="shared" si="97"/>
        <v>0</v>
      </c>
      <c r="X185" s="22" t="str">
        <f t="shared" si="98"/>
        <v>No</v>
      </c>
      <c r="Y185" s="180">
        <f t="shared" si="99"/>
        <v>0</v>
      </c>
      <c r="Z185" s="146">
        <f t="shared" si="100"/>
        <v>0</v>
      </c>
      <c r="AA185" s="146">
        <f t="shared" si="101"/>
        <v>0</v>
      </c>
      <c r="AB185" s="72"/>
      <c r="AC185" s="146">
        <f>AB185/VLOOKUP(S185,Data!$H$22:$I$25,2,FALSE)</f>
        <v>0</v>
      </c>
      <c r="AD185" s="22" t="s">
        <v>157</v>
      </c>
      <c r="AE185" s="146">
        <f>VLOOKUP(S185,Data!$H$22:$J$25,3,FALSE)*T185</f>
        <v>860.49</v>
      </c>
      <c r="AF185" s="8">
        <f>VLOOKUP(S185,Data!$H$22:$I$25,2,FALSE)*AE185</f>
        <v>860.49</v>
      </c>
      <c r="AG185" s="8" t="s">
        <v>172</v>
      </c>
      <c r="AH185" s="23">
        <v>0</v>
      </c>
      <c r="AI185" s="72"/>
      <c r="AJ185" s="159">
        <f t="shared" si="102"/>
        <v>0</v>
      </c>
      <c r="AK185" s="168">
        <f t="shared" si="135"/>
        <v>0</v>
      </c>
      <c r="AL185" s="160">
        <f t="shared" si="136"/>
        <v>0</v>
      </c>
      <c r="AM185" s="168">
        <f t="shared" si="103"/>
        <v>28683</v>
      </c>
      <c r="AN185" s="160">
        <f t="shared" si="104"/>
        <v>28683</v>
      </c>
      <c r="AO185" s="160" t="str">
        <f t="shared" si="137"/>
        <v>No</v>
      </c>
      <c r="AP185" s="146">
        <f>IF(AQ185=0,0,AQ185/VLOOKUP(S185,Data!$H$22:$I$25,2,FALSE))</f>
        <v>0</v>
      </c>
      <c r="AQ185" s="183">
        <f t="shared" si="105"/>
        <v>0</v>
      </c>
      <c r="AR185" s="165">
        <f t="shared" si="106"/>
        <v>0</v>
      </c>
      <c r="AS185" s="183">
        <f t="shared" si="107"/>
        <v>0</v>
      </c>
      <c r="AT185" s="250">
        <f t="shared" si="108"/>
        <v>0</v>
      </c>
      <c r="AU185" s="146">
        <f t="shared" si="109"/>
        <v>28683</v>
      </c>
      <c r="AV185" s="8">
        <f t="shared" si="110"/>
        <v>28683</v>
      </c>
      <c r="AW185" s="8" t="str">
        <f t="shared" si="111"/>
        <v/>
      </c>
      <c r="AX185" s="180">
        <f t="shared" si="112"/>
        <v>1.1031923076923076</v>
      </c>
      <c r="AY185" s="146">
        <f t="shared" si="113"/>
        <v>0</v>
      </c>
      <c r="AZ185" s="146">
        <f t="shared" si="114"/>
        <v>0</v>
      </c>
      <c r="BA185" s="22" t="s">
        <v>159</v>
      </c>
      <c r="BB185" s="149"/>
      <c r="BC185" s="149"/>
      <c r="BD185" s="144"/>
      <c r="BE185" s="146" t="str">
        <f t="shared" si="115"/>
        <v/>
      </c>
      <c r="BF185" s="8" t="str">
        <f t="shared" si="116"/>
        <v/>
      </c>
      <c r="BG185" s="8" t="str">
        <f>IF(LEN(BC185)&gt;0,VLOOKUP(BC185,'Job Codes'!B178:I296,7,FALSE),"")</f>
        <v/>
      </c>
      <c r="BH185" s="192" t="str">
        <f>IF(LEN(BC185)&gt;0,VLOOKUP(BC185,'Job Codes'!B178:I296,8,FALSE),"")</f>
        <v/>
      </c>
      <c r="BI185" s="192" t="str">
        <f>IF(LEN(BC185)&gt;0,VLOOKUP(BC185,'Job Codes'!$B$2:$J$120,9,FALSE),"")</f>
        <v/>
      </c>
      <c r="BJ185" s="146" t="str">
        <f>IF(LEN(BC185)&gt;0,VLOOKUP(BC185,'Job Codes'!$B$2:$I$120,4,FALSE),"")</f>
        <v/>
      </c>
      <c r="BK185" s="146" t="str">
        <f>IF(LEN(BC185)&gt;0,VLOOKUP(BC185,'Job Codes'!$B$2:$I$120,5,FALSE),"")</f>
        <v/>
      </c>
      <c r="BL185" s="146" t="str">
        <f>IF(LEN(BC185)&gt;0,VLOOKUP(BC185,'Job Codes'!$B$2:$I$120,6,FALSE),"")</f>
        <v/>
      </c>
      <c r="BM185" s="168">
        <f t="shared" si="117"/>
        <v>28683</v>
      </c>
      <c r="BN185" s="160">
        <f t="shared" si="118"/>
        <v>28683</v>
      </c>
      <c r="BO185" s="22" t="s">
        <v>159</v>
      </c>
      <c r="BP185" s="157">
        <f>VLOOKUP(I185,'Job Codes'!$B$2:$I$120,8,FALSE)</f>
        <v>0</v>
      </c>
      <c r="BQ185" s="25" t="str">
        <f>IF(O185&gt;Data!$H$33,"Yes","No")</f>
        <v>No</v>
      </c>
      <c r="BR185" s="191">
        <v>0</v>
      </c>
      <c r="BS185" s="150">
        <f t="shared" si="119"/>
        <v>0</v>
      </c>
      <c r="BT185" s="25">
        <f t="shared" si="120"/>
        <v>0</v>
      </c>
      <c r="BU185" s="161">
        <v>1</v>
      </c>
      <c r="BV185" s="168">
        <f t="shared" si="121"/>
        <v>0</v>
      </c>
      <c r="BW185" s="160">
        <f t="shared" si="122"/>
        <v>0</v>
      </c>
      <c r="BX185" s="149"/>
      <c r="BY185" s="32">
        <f t="shared" si="123"/>
        <v>0</v>
      </c>
      <c r="BZ185" s="22" t="s">
        <v>159</v>
      </c>
      <c r="CA185" s="231">
        <f>VLOOKUP(I185,'Job Codes'!$B$2:$J$120,9,FALSE)</f>
        <v>0</v>
      </c>
      <c r="CB185" s="253">
        <f t="shared" si="124"/>
        <v>0</v>
      </c>
      <c r="CC185" s="72"/>
      <c r="CD185" s="25" t="str">
        <f t="shared" si="125"/>
        <v>Below</v>
      </c>
      <c r="CE185" s="27"/>
      <c r="CF185" s="27"/>
      <c r="CG185" s="27"/>
      <c r="CH185" s="27"/>
      <c r="CI185" s="27"/>
      <c r="CJ185" s="3">
        <v>29271</v>
      </c>
      <c r="CK185" s="3" t="s">
        <v>255</v>
      </c>
      <c r="CL185" s="3">
        <v>4569</v>
      </c>
      <c r="CM185" s="3" t="s">
        <v>161</v>
      </c>
      <c r="CN185" s="3">
        <v>4571</v>
      </c>
      <c r="CO185" s="3" t="s">
        <v>162</v>
      </c>
      <c r="CP185" s="3">
        <v>12345</v>
      </c>
      <c r="CQ185" s="3" t="s">
        <v>163</v>
      </c>
      <c r="CR185" s="246" t="s">
        <v>164</v>
      </c>
      <c r="CS185" s="5" t="s">
        <v>165</v>
      </c>
      <c r="CT185" s="246" t="s">
        <v>256</v>
      </c>
      <c r="CU185" s="247" t="s">
        <v>257</v>
      </c>
      <c r="CV185" s="3" t="str">
        <f t="shared" si="126"/>
        <v>67890;86672</v>
      </c>
      <c r="CW185" s="3" t="s">
        <v>168</v>
      </c>
      <c r="CX185" s="3" t="str">
        <f t="shared" si="127"/>
        <v>AB185;;BB185:BD185;BU185;BX185</v>
      </c>
      <c r="CY185" s="5" t="str">
        <f t="shared" si="128"/>
        <v>Unlock</v>
      </c>
      <c r="CZ185" s="5" t="str">
        <f t="shared" si="129"/>
        <v>Lock</v>
      </c>
      <c r="DA185" s="5" t="str">
        <f t="shared" si="130"/>
        <v>Lock</v>
      </c>
      <c r="DB185" s="5" t="str">
        <f t="shared" si="131"/>
        <v>Lock</v>
      </c>
      <c r="DC185" s="5" t="str">
        <f t="shared" si="132"/>
        <v>Lock</v>
      </c>
      <c r="DD185" s="78">
        <f t="shared" si="133"/>
        <v>2</v>
      </c>
      <c r="DE185" s="2"/>
      <c r="DF185" s="2"/>
      <c r="DG185" s="2"/>
      <c r="DH185" s="2"/>
      <c r="DI185" s="2"/>
      <c r="DJ185" s="2"/>
      <c r="DK185" s="5"/>
      <c r="DL185" s="2"/>
      <c r="DM185" s="2"/>
      <c r="DN185" s="2"/>
      <c r="DO185" s="2"/>
      <c r="DP185" s="2"/>
      <c r="DQ185" s="2"/>
      <c r="DR185" s="2"/>
      <c r="DS185" s="2"/>
      <c r="DT185" s="2"/>
      <c r="DU185" s="2"/>
      <c r="DV185" s="2"/>
      <c r="DW185" s="2"/>
      <c r="DX185" s="2"/>
      <c r="DY185" s="2"/>
      <c r="DZ185" s="2"/>
      <c r="EA185" s="2"/>
      <c r="EB185" s="2"/>
      <c r="EC185" s="2"/>
      <c r="ED185" s="2"/>
      <c r="EE185" s="2"/>
      <c r="EF185" s="1"/>
      <c r="EG185" s="98"/>
      <c r="EH185" s="98"/>
      <c r="EI185" s="1"/>
      <c r="EJ185" s="1"/>
      <c r="EK185" s="98"/>
      <c r="EL185" s="1"/>
    </row>
    <row r="186" spans="1:142">
      <c r="A186" s="32">
        <f t="shared" si="92"/>
        <v>17741</v>
      </c>
      <c r="B186" s="3" t="str">
        <f t="shared" si="93"/>
        <v>sv_statement//Statement//Export Statement&amp;PDFID=Mike Tang_17741&amp;SO=Y</v>
      </c>
      <c r="C186" s="5" t="str">
        <f t="shared" si="134"/>
        <v>Statement</v>
      </c>
      <c r="D186" s="5" t="str">
        <f t="shared" si="94"/>
        <v>Mike Tang_17741</v>
      </c>
      <c r="E186" s="5"/>
      <c r="F186" s="5">
        <v>17741</v>
      </c>
      <c r="G186" s="22" t="s">
        <v>487</v>
      </c>
      <c r="H186" s="5" t="s">
        <v>367</v>
      </c>
      <c r="I186" s="5" t="s">
        <v>378</v>
      </c>
      <c r="J186" s="5" t="s">
        <v>252</v>
      </c>
      <c r="K186" s="5" t="s">
        <v>319</v>
      </c>
      <c r="L186" s="31">
        <f t="shared" si="95"/>
        <v>29331</v>
      </c>
      <c r="M186" s="5" t="s">
        <v>320</v>
      </c>
      <c r="N186" s="22" t="s">
        <v>155</v>
      </c>
      <c r="O186" s="100">
        <v>38054</v>
      </c>
      <c r="P186" s="146">
        <f>VLOOKUP(I186,'Job Codes'!$B$2:$I$120,4,FALSE)</f>
        <v>26500</v>
      </c>
      <c r="Q186" s="146">
        <f>VLOOKUP(I186,'Job Codes'!$B$2:$I$120,5,FALSE)</f>
        <v>34450</v>
      </c>
      <c r="R186" s="146">
        <f>VLOOKUP(I186,'Job Codes'!$B$2:$I$120,6,FALSE)</f>
        <v>41340</v>
      </c>
      <c r="S186" s="22" t="s">
        <v>171</v>
      </c>
      <c r="T186" s="146">
        <v>29744</v>
      </c>
      <c r="U186" s="8">
        <f>VLOOKUP(S186,Data!$H$22:$I$25,2,FALSE)*T186</f>
        <v>29744</v>
      </c>
      <c r="V186" s="180">
        <f t="shared" si="96"/>
        <v>0.86339622641509439</v>
      </c>
      <c r="W186" s="180">
        <f t="shared" si="97"/>
        <v>0.15821678321678323</v>
      </c>
      <c r="X186" s="22" t="str">
        <f t="shared" si="98"/>
        <v>Yes</v>
      </c>
      <c r="Y186" s="180">
        <f t="shared" si="99"/>
        <v>0.02</v>
      </c>
      <c r="Z186" s="146">
        <f t="shared" si="100"/>
        <v>594.88</v>
      </c>
      <c r="AA186" s="146">
        <f t="shared" si="101"/>
        <v>594.88</v>
      </c>
      <c r="AB186" s="72"/>
      <c r="AC186" s="146">
        <f>AB186/VLOOKUP(S186,Data!$H$22:$I$25,2,FALSE)</f>
        <v>0</v>
      </c>
      <c r="AD186" s="22" t="s">
        <v>157</v>
      </c>
      <c r="AE186" s="146">
        <f>VLOOKUP(S186,Data!$H$22:$J$25,3,FALSE)*T186</f>
        <v>892.31999999999994</v>
      </c>
      <c r="AF186" s="8">
        <f>VLOOKUP(S186,Data!$H$22:$I$25,2,FALSE)*AE186</f>
        <v>892.31999999999994</v>
      </c>
      <c r="AG186" s="8" t="s">
        <v>178</v>
      </c>
      <c r="AH186" s="23">
        <v>2.5000000000000001E-2</v>
      </c>
      <c r="AI186" s="72"/>
      <c r="AJ186" s="159">
        <f t="shared" si="102"/>
        <v>2.5000000000000001E-2</v>
      </c>
      <c r="AK186" s="168">
        <f t="shared" si="135"/>
        <v>743.6</v>
      </c>
      <c r="AL186" s="160">
        <f t="shared" si="136"/>
        <v>743.6</v>
      </c>
      <c r="AM186" s="168">
        <f t="shared" si="103"/>
        <v>30487.599999999999</v>
      </c>
      <c r="AN186" s="160">
        <f t="shared" si="104"/>
        <v>30487.599999999999</v>
      </c>
      <c r="AO186" s="160" t="str">
        <f t="shared" si="137"/>
        <v>No</v>
      </c>
      <c r="AP186" s="146">
        <f>IF(AQ186=0,0,AQ186/VLOOKUP(S186,Data!$H$22:$I$25,2,FALSE))</f>
        <v>0</v>
      </c>
      <c r="AQ186" s="183">
        <f t="shared" si="105"/>
        <v>0</v>
      </c>
      <c r="AR186" s="165">
        <f t="shared" si="106"/>
        <v>743.6</v>
      </c>
      <c r="AS186" s="183">
        <f t="shared" si="107"/>
        <v>743.6</v>
      </c>
      <c r="AT186" s="250">
        <f t="shared" si="108"/>
        <v>2.5000000000000001E-2</v>
      </c>
      <c r="AU186" s="146">
        <f t="shared" si="109"/>
        <v>30487.599999999999</v>
      </c>
      <c r="AV186" s="8">
        <f t="shared" si="110"/>
        <v>30487.599999999999</v>
      </c>
      <c r="AW186" s="8" t="str">
        <f t="shared" si="111"/>
        <v/>
      </c>
      <c r="AX186" s="180">
        <f t="shared" si="112"/>
        <v>0.88498113207547169</v>
      </c>
      <c r="AY186" s="146">
        <f t="shared" si="113"/>
        <v>0</v>
      </c>
      <c r="AZ186" s="146">
        <f t="shared" si="114"/>
        <v>0</v>
      </c>
      <c r="BA186" s="22" t="s">
        <v>159</v>
      </c>
      <c r="BB186" s="149"/>
      <c r="BC186" s="149"/>
      <c r="BD186" s="144"/>
      <c r="BE186" s="146" t="str">
        <f t="shared" si="115"/>
        <v/>
      </c>
      <c r="BF186" s="8" t="str">
        <f t="shared" si="116"/>
        <v/>
      </c>
      <c r="BG186" s="8" t="str">
        <f>IF(LEN(BC186)&gt;0,VLOOKUP(BC186,'Job Codes'!B179:I297,7,FALSE),"")</f>
        <v/>
      </c>
      <c r="BH186" s="192" t="str">
        <f>IF(LEN(BC186)&gt;0,VLOOKUP(BC186,'Job Codes'!B179:I297,8,FALSE),"")</f>
        <v/>
      </c>
      <c r="BI186" s="192" t="str">
        <f>IF(LEN(BC186)&gt;0,VLOOKUP(BC186,'Job Codes'!$B$2:$J$120,9,FALSE),"")</f>
        <v/>
      </c>
      <c r="BJ186" s="146" t="str">
        <f>IF(LEN(BC186)&gt;0,VLOOKUP(BC186,'Job Codes'!$B$2:$I$120,4,FALSE),"")</f>
        <v/>
      </c>
      <c r="BK186" s="146" t="str">
        <f>IF(LEN(BC186)&gt;0,VLOOKUP(BC186,'Job Codes'!$B$2:$I$120,5,FALSE),"")</f>
        <v/>
      </c>
      <c r="BL186" s="146" t="str">
        <f>IF(LEN(BC186)&gt;0,VLOOKUP(BC186,'Job Codes'!$B$2:$I$120,6,FALSE),"")</f>
        <v/>
      </c>
      <c r="BM186" s="168">
        <f t="shared" si="117"/>
        <v>30487.599999999999</v>
      </c>
      <c r="BN186" s="160">
        <f t="shared" si="118"/>
        <v>30487.599999999999</v>
      </c>
      <c r="BO186" s="22" t="s">
        <v>157</v>
      </c>
      <c r="BP186" s="157">
        <f>VLOOKUP(I186,'Job Codes'!$B$2:$I$120,8,FALSE)</f>
        <v>0.05</v>
      </c>
      <c r="BQ186" s="25" t="str">
        <f>IF(O186&gt;Data!$H$33,"Yes","No")</f>
        <v>No</v>
      </c>
      <c r="BR186" s="191">
        <v>0.05</v>
      </c>
      <c r="BS186" s="150">
        <f t="shared" si="119"/>
        <v>1487.2</v>
      </c>
      <c r="BT186" s="25">
        <f t="shared" si="120"/>
        <v>1487.2</v>
      </c>
      <c r="BU186" s="161">
        <v>1</v>
      </c>
      <c r="BV186" s="168">
        <f t="shared" si="121"/>
        <v>1487.2</v>
      </c>
      <c r="BW186" s="160">
        <f t="shared" si="122"/>
        <v>1487.2</v>
      </c>
      <c r="BX186" s="149"/>
      <c r="BY186" s="32">
        <f t="shared" si="123"/>
        <v>0</v>
      </c>
      <c r="BZ186" s="22" t="s">
        <v>159</v>
      </c>
      <c r="CA186" s="231">
        <f>VLOOKUP(I186,'Job Codes'!$B$2:$J$120,9,FALSE)</f>
        <v>0</v>
      </c>
      <c r="CB186" s="253">
        <f t="shared" si="124"/>
        <v>0</v>
      </c>
      <c r="CC186" s="72"/>
      <c r="CD186" s="25" t="str">
        <f t="shared" si="125"/>
        <v>Meets</v>
      </c>
      <c r="CE186" s="27"/>
      <c r="CF186" s="27"/>
      <c r="CG186" s="27"/>
      <c r="CH186" s="27"/>
      <c r="CI186" s="27"/>
      <c r="CJ186" s="3">
        <v>29271</v>
      </c>
      <c r="CK186" s="3" t="s">
        <v>255</v>
      </c>
      <c r="CL186" s="3">
        <v>4569</v>
      </c>
      <c r="CM186" s="3" t="s">
        <v>161</v>
      </c>
      <c r="CN186" s="3">
        <v>4571</v>
      </c>
      <c r="CO186" s="3" t="s">
        <v>162</v>
      </c>
      <c r="CP186" s="3">
        <v>12345</v>
      </c>
      <c r="CQ186" s="3" t="s">
        <v>163</v>
      </c>
      <c r="CR186" s="246" t="s">
        <v>164</v>
      </c>
      <c r="CS186" s="5" t="s">
        <v>165</v>
      </c>
      <c r="CT186" s="246" t="s">
        <v>256</v>
      </c>
      <c r="CU186" s="247" t="s">
        <v>257</v>
      </c>
      <c r="CV186" s="3" t="str">
        <f t="shared" si="126"/>
        <v>67890;86672</v>
      </c>
      <c r="CW186" s="3" t="s">
        <v>168</v>
      </c>
      <c r="CX186" s="3" t="str">
        <f t="shared" si="127"/>
        <v>;;BB186:BD186;;CC186</v>
      </c>
      <c r="CY186" s="5" t="str">
        <f t="shared" si="128"/>
        <v>Unlock</v>
      </c>
      <c r="CZ186" s="5" t="str">
        <f t="shared" si="129"/>
        <v>Lock</v>
      </c>
      <c r="DA186" s="5" t="str">
        <f t="shared" si="130"/>
        <v>Lock</v>
      </c>
      <c r="DB186" s="5" t="str">
        <f t="shared" si="131"/>
        <v>Lock</v>
      </c>
      <c r="DC186" s="5" t="str">
        <f t="shared" si="132"/>
        <v>Lock</v>
      </c>
      <c r="DD186" s="78">
        <f t="shared" si="133"/>
        <v>2</v>
      </c>
      <c r="DE186" s="2"/>
      <c r="DF186" s="2"/>
      <c r="DG186" s="2"/>
      <c r="DH186" s="2"/>
      <c r="DI186" s="2"/>
      <c r="DJ186" s="2"/>
      <c r="DK186" s="5"/>
      <c r="DL186" s="2"/>
      <c r="DM186" s="2"/>
      <c r="DN186" s="2"/>
      <c r="DO186" s="2"/>
      <c r="DP186" s="2"/>
      <c r="DQ186" s="2"/>
      <c r="DR186" s="2"/>
      <c r="DS186" s="2"/>
      <c r="DT186" s="2"/>
      <c r="DU186" s="2"/>
      <c r="DV186" s="2"/>
      <c r="DW186" s="2"/>
      <c r="DX186" s="2"/>
      <c r="DY186" s="2"/>
      <c r="DZ186" s="2"/>
      <c r="EA186" s="2"/>
      <c r="EB186" s="2"/>
      <c r="EC186" s="2"/>
      <c r="ED186" s="2"/>
      <c r="EE186" s="2"/>
      <c r="EF186" s="1"/>
      <c r="EG186" s="98"/>
      <c r="EH186" s="98"/>
      <c r="EI186" s="1"/>
      <c r="EJ186" s="1"/>
      <c r="EK186" s="98"/>
      <c r="EL186" s="1"/>
    </row>
    <row r="187" spans="1:142">
      <c r="A187" s="32">
        <f t="shared" si="92"/>
        <v>18100</v>
      </c>
      <c r="B187" s="3" t="str">
        <f t="shared" si="93"/>
        <v>sv_statement//Statement//Export Statement&amp;PDFID=Jason Lockett_18100&amp;SO=Y</v>
      </c>
      <c r="C187" s="5" t="str">
        <f t="shared" si="134"/>
        <v>Statement</v>
      </c>
      <c r="D187" s="5" t="str">
        <f t="shared" si="94"/>
        <v>Jason Lockett_18100</v>
      </c>
      <c r="E187" s="5"/>
      <c r="F187" s="5">
        <v>18100</v>
      </c>
      <c r="G187" s="22" t="s">
        <v>488</v>
      </c>
      <c r="H187" s="5" t="s">
        <v>367</v>
      </c>
      <c r="I187" s="5" t="s">
        <v>390</v>
      </c>
      <c r="J187" s="5" t="s">
        <v>252</v>
      </c>
      <c r="K187" s="5" t="s">
        <v>333</v>
      </c>
      <c r="L187" s="31">
        <f t="shared" si="95"/>
        <v>29326</v>
      </c>
      <c r="M187" s="5" t="s">
        <v>334</v>
      </c>
      <c r="N187" s="22" t="s">
        <v>155</v>
      </c>
      <c r="O187" s="100">
        <v>38390</v>
      </c>
      <c r="P187" s="146">
        <f>VLOOKUP(I187,'Job Codes'!$B$2:$I$120,4,FALSE)</f>
        <v>23000</v>
      </c>
      <c r="Q187" s="146">
        <f>VLOOKUP(I187,'Job Codes'!$B$2:$I$120,5,FALSE)</f>
        <v>29900</v>
      </c>
      <c r="R187" s="146">
        <f>VLOOKUP(I187,'Job Codes'!$B$2:$I$120,6,FALSE)</f>
        <v>35880</v>
      </c>
      <c r="S187" s="22" t="s">
        <v>171</v>
      </c>
      <c r="T187" s="146">
        <v>43368</v>
      </c>
      <c r="U187" s="8">
        <f>VLOOKUP(S187,Data!$H$22:$I$25,2,FALSE)*T187</f>
        <v>43368</v>
      </c>
      <c r="V187" s="180">
        <f t="shared" si="96"/>
        <v>1.4504347826086956</v>
      </c>
      <c r="W187" s="180">
        <f t="shared" si="97"/>
        <v>0</v>
      </c>
      <c r="X187" s="22" t="str">
        <f t="shared" si="98"/>
        <v>No</v>
      </c>
      <c r="Y187" s="180">
        <f t="shared" si="99"/>
        <v>0</v>
      </c>
      <c r="Z187" s="146">
        <f t="shared" si="100"/>
        <v>0</v>
      </c>
      <c r="AA187" s="146">
        <f t="shared" si="101"/>
        <v>0</v>
      </c>
      <c r="AB187" s="72"/>
      <c r="AC187" s="146">
        <f>AB187/VLOOKUP(S187,Data!$H$22:$I$25,2,FALSE)</f>
        <v>0</v>
      </c>
      <c r="AD187" s="22" t="s">
        <v>157</v>
      </c>
      <c r="AE187" s="146">
        <f>VLOOKUP(S187,Data!$H$22:$J$25,3,FALSE)*T187</f>
        <v>1301.04</v>
      </c>
      <c r="AF187" s="8">
        <f>VLOOKUP(S187,Data!$H$22:$I$25,2,FALSE)*AE187</f>
        <v>1301.04</v>
      </c>
      <c r="AG187" s="8" t="s">
        <v>172</v>
      </c>
      <c r="AH187" s="23">
        <v>0</v>
      </c>
      <c r="AI187" s="72"/>
      <c r="AJ187" s="159">
        <f t="shared" si="102"/>
        <v>0</v>
      </c>
      <c r="AK187" s="168">
        <f t="shared" si="135"/>
        <v>0</v>
      </c>
      <c r="AL187" s="160">
        <f t="shared" si="136"/>
        <v>0</v>
      </c>
      <c r="AM187" s="168">
        <f t="shared" si="103"/>
        <v>43368</v>
      </c>
      <c r="AN187" s="160">
        <f t="shared" si="104"/>
        <v>43368</v>
      </c>
      <c r="AO187" s="160" t="str">
        <f t="shared" si="137"/>
        <v>Yes by USD 7,488</v>
      </c>
      <c r="AP187" s="146">
        <f>IF(AQ187=0,0,AQ187/VLOOKUP(S187,Data!$H$22:$I$25,2,FALSE))</f>
        <v>0</v>
      </c>
      <c r="AQ187" s="183">
        <f t="shared" si="105"/>
        <v>0</v>
      </c>
      <c r="AR187" s="165">
        <f t="shared" si="106"/>
        <v>0</v>
      </c>
      <c r="AS187" s="183">
        <f t="shared" si="107"/>
        <v>0</v>
      </c>
      <c r="AT187" s="250">
        <f t="shared" si="108"/>
        <v>0</v>
      </c>
      <c r="AU187" s="146">
        <f t="shared" si="109"/>
        <v>43368</v>
      </c>
      <c r="AV187" s="8">
        <f t="shared" si="110"/>
        <v>43368</v>
      </c>
      <c r="AW187" s="8" t="str">
        <f t="shared" si="111"/>
        <v/>
      </c>
      <c r="AX187" s="180">
        <f t="shared" si="112"/>
        <v>1.4504347826086956</v>
      </c>
      <c r="AY187" s="146">
        <f t="shared" si="113"/>
        <v>0</v>
      </c>
      <c r="AZ187" s="146">
        <f t="shared" si="114"/>
        <v>0</v>
      </c>
      <c r="BA187" s="22" t="s">
        <v>159</v>
      </c>
      <c r="BB187" s="149"/>
      <c r="BC187" s="149"/>
      <c r="BD187" s="144"/>
      <c r="BE187" s="146" t="str">
        <f t="shared" si="115"/>
        <v/>
      </c>
      <c r="BF187" s="8" t="str">
        <f t="shared" si="116"/>
        <v/>
      </c>
      <c r="BG187" s="8" t="str">
        <f>IF(LEN(BC187)&gt;0,VLOOKUP(BC187,'Job Codes'!B180:I298,7,FALSE),"")</f>
        <v/>
      </c>
      <c r="BH187" s="192" t="str">
        <f>IF(LEN(BC187)&gt;0,VLOOKUP(BC187,'Job Codes'!B180:I298,8,FALSE),"")</f>
        <v/>
      </c>
      <c r="BI187" s="192" t="str">
        <f>IF(LEN(BC187)&gt;0,VLOOKUP(BC187,'Job Codes'!$B$2:$J$120,9,FALSE),"")</f>
        <v/>
      </c>
      <c r="BJ187" s="146" t="str">
        <f>IF(LEN(BC187)&gt;0,VLOOKUP(BC187,'Job Codes'!$B$2:$I$120,4,FALSE),"")</f>
        <v/>
      </c>
      <c r="BK187" s="146" t="str">
        <f>IF(LEN(BC187)&gt;0,VLOOKUP(BC187,'Job Codes'!$B$2:$I$120,5,FALSE),"")</f>
        <v/>
      </c>
      <c r="BL187" s="146" t="str">
        <f>IF(LEN(BC187)&gt;0,VLOOKUP(BC187,'Job Codes'!$B$2:$I$120,6,FALSE),"")</f>
        <v/>
      </c>
      <c r="BM187" s="168">
        <f t="shared" si="117"/>
        <v>43368</v>
      </c>
      <c r="BN187" s="160">
        <f t="shared" si="118"/>
        <v>43368</v>
      </c>
      <c r="BO187" s="22" t="s">
        <v>159</v>
      </c>
      <c r="BP187" s="157">
        <f>VLOOKUP(I187,'Job Codes'!$B$2:$I$120,8,FALSE)</f>
        <v>0</v>
      </c>
      <c r="BQ187" s="25" t="str">
        <f>IF(O187&gt;Data!$H$33,"Yes","No")</f>
        <v>No</v>
      </c>
      <c r="BR187" s="191">
        <v>0</v>
      </c>
      <c r="BS187" s="150">
        <f t="shared" si="119"/>
        <v>0</v>
      </c>
      <c r="BT187" s="25">
        <f t="shared" si="120"/>
        <v>0</v>
      </c>
      <c r="BU187" s="161">
        <v>1</v>
      </c>
      <c r="BV187" s="168">
        <f t="shared" si="121"/>
        <v>0</v>
      </c>
      <c r="BW187" s="160">
        <f t="shared" si="122"/>
        <v>0</v>
      </c>
      <c r="BX187" s="149"/>
      <c r="BY187" s="32">
        <f t="shared" si="123"/>
        <v>0</v>
      </c>
      <c r="BZ187" s="22" t="s">
        <v>159</v>
      </c>
      <c r="CA187" s="231">
        <f>VLOOKUP(I187,'Job Codes'!$B$2:$J$120,9,FALSE)</f>
        <v>0</v>
      </c>
      <c r="CB187" s="253">
        <f t="shared" si="124"/>
        <v>0</v>
      </c>
      <c r="CC187" s="72"/>
      <c r="CD187" s="25" t="str">
        <f t="shared" si="125"/>
        <v>Below</v>
      </c>
      <c r="CE187" s="27"/>
      <c r="CF187" s="27"/>
      <c r="CG187" s="27"/>
      <c r="CH187" s="27"/>
      <c r="CI187" s="27"/>
      <c r="CJ187" s="3">
        <v>29271</v>
      </c>
      <c r="CK187" s="3" t="s">
        <v>255</v>
      </c>
      <c r="CL187" s="3">
        <v>4569</v>
      </c>
      <c r="CM187" s="3" t="s">
        <v>161</v>
      </c>
      <c r="CN187" s="3">
        <v>4571</v>
      </c>
      <c r="CO187" s="3" t="s">
        <v>162</v>
      </c>
      <c r="CP187" s="3">
        <v>12345</v>
      </c>
      <c r="CQ187" s="3" t="s">
        <v>163</v>
      </c>
      <c r="CR187" s="246" t="s">
        <v>164</v>
      </c>
      <c r="CS187" s="5" t="s">
        <v>165</v>
      </c>
      <c r="CT187" s="246" t="s">
        <v>256</v>
      </c>
      <c r="CU187" s="247" t="s">
        <v>257</v>
      </c>
      <c r="CV187" s="3" t="str">
        <f t="shared" si="126"/>
        <v>67890;86672</v>
      </c>
      <c r="CW187" s="3" t="s">
        <v>168</v>
      </c>
      <c r="CX187" s="3" t="str">
        <f t="shared" si="127"/>
        <v>AB187;;BB187:BD187;BU187;BX187</v>
      </c>
      <c r="CY187" s="5" t="str">
        <f t="shared" si="128"/>
        <v>Unlock</v>
      </c>
      <c r="CZ187" s="5" t="str">
        <f t="shared" si="129"/>
        <v>Lock</v>
      </c>
      <c r="DA187" s="5" t="str">
        <f t="shared" si="130"/>
        <v>Lock</v>
      </c>
      <c r="DB187" s="5" t="str">
        <f t="shared" si="131"/>
        <v>Lock</v>
      </c>
      <c r="DC187" s="5" t="str">
        <f t="shared" si="132"/>
        <v>Lock</v>
      </c>
      <c r="DD187" s="78">
        <f t="shared" si="133"/>
        <v>2</v>
      </c>
      <c r="DE187" s="2"/>
      <c r="DF187" s="2"/>
      <c r="DG187" s="2"/>
      <c r="DH187" s="2"/>
      <c r="DI187" s="2"/>
      <c r="DJ187" s="2"/>
      <c r="DK187" s="5"/>
      <c r="DL187" s="2"/>
      <c r="DM187" s="2"/>
      <c r="DN187" s="2"/>
      <c r="DO187" s="2"/>
      <c r="DP187" s="2"/>
      <c r="DQ187" s="2"/>
      <c r="DR187" s="2"/>
      <c r="DS187" s="2"/>
      <c r="DT187" s="2"/>
      <c r="DU187" s="2"/>
      <c r="DV187" s="2"/>
      <c r="DW187" s="2"/>
      <c r="DX187" s="2"/>
      <c r="DY187" s="2"/>
      <c r="DZ187" s="2"/>
      <c r="EA187" s="2"/>
      <c r="EB187" s="2"/>
      <c r="EC187" s="2"/>
      <c r="ED187" s="2"/>
      <c r="EE187" s="2"/>
      <c r="EF187" s="1"/>
      <c r="EG187" s="98"/>
      <c r="EH187" s="98"/>
      <c r="EI187" s="1"/>
      <c r="EJ187" s="1"/>
      <c r="EK187" s="98"/>
      <c r="EL187" s="1"/>
    </row>
    <row r="188" spans="1:142">
      <c r="A188" s="32">
        <f t="shared" si="92"/>
        <v>20708</v>
      </c>
      <c r="B188" s="3" t="str">
        <f t="shared" si="93"/>
        <v>sv_statement//Statement//Export Statement&amp;PDFID=Lucy Devries_20708&amp;SO=Y</v>
      </c>
      <c r="C188" s="5" t="str">
        <f t="shared" si="134"/>
        <v>Statement</v>
      </c>
      <c r="D188" s="5" t="str">
        <f t="shared" si="94"/>
        <v>Lucy Devries_20708</v>
      </c>
      <c r="E188" s="5"/>
      <c r="F188" s="5">
        <v>20708</v>
      </c>
      <c r="G188" s="22" t="s">
        <v>489</v>
      </c>
      <c r="H188" s="5" t="s">
        <v>367</v>
      </c>
      <c r="I188" s="5" t="s">
        <v>392</v>
      </c>
      <c r="J188" s="5" t="s">
        <v>252</v>
      </c>
      <c r="K188" s="5" t="s">
        <v>333</v>
      </c>
      <c r="L188" s="31">
        <f t="shared" si="95"/>
        <v>29326</v>
      </c>
      <c r="M188" s="5" t="s">
        <v>334</v>
      </c>
      <c r="N188" s="22" t="s">
        <v>155</v>
      </c>
      <c r="O188" s="100">
        <v>38353</v>
      </c>
      <c r="P188" s="146">
        <f>VLOOKUP(I188,'Job Codes'!$B$2:$I$120,4,FALSE)</f>
        <v>23000</v>
      </c>
      <c r="Q188" s="146">
        <f>VLOOKUP(I188,'Job Codes'!$B$2:$I$120,5,FALSE)</f>
        <v>29900</v>
      </c>
      <c r="R188" s="146">
        <f>VLOOKUP(I188,'Job Codes'!$B$2:$I$120,6,FALSE)</f>
        <v>35880</v>
      </c>
      <c r="S188" s="22" t="s">
        <v>171</v>
      </c>
      <c r="T188" s="146">
        <v>45490</v>
      </c>
      <c r="U188" s="8">
        <f>VLOOKUP(S188,Data!$H$22:$I$25,2,FALSE)*T188</f>
        <v>45490</v>
      </c>
      <c r="V188" s="180">
        <f t="shared" si="96"/>
        <v>1.5214046822742475</v>
      </c>
      <c r="W188" s="180">
        <f t="shared" si="97"/>
        <v>0</v>
      </c>
      <c r="X188" s="22" t="str">
        <f t="shared" si="98"/>
        <v>No</v>
      </c>
      <c r="Y188" s="180">
        <f t="shared" si="99"/>
        <v>0</v>
      </c>
      <c r="Z188" s="146">
        <f t="shared" si="100"/>
        <v>0</v>
      </c>
      <c r="AA188" s="146">
        <f t="shared" si="101"/>
        <v>0</v>
      </c>
      <c r="AB188" s="72"/>
      <c r="AC188" s="146">
        <f>AB188/VLOOKUP(S188,Data!$H$22:$I$25,2,FALSE)</f>
        <v>0</v>
      </c>
      <c r="AD188" s="22" t="s">
        <v>157</v>
      </c>
      <c r="AE188" s="146">
        <f>VLOOKUP(S188,Data!$H$22:$J$25,3,FALSE)*T188</f>
        <v>1364.7</v>
      </c>
      <c r="AF188" s="8">
        <f>VLOOKUP(S188,Data!$H$22:$I$25,2,FALSE)*AE188</f>
        <v>1364.7</v>
      </c>
      <c r="AG188" s="8" t="s">
        <v>178</v>
      </c>
      <c r="AH188" s="23">
        <v>2.5000000000000001E-2</v>
      </c>
      <c r="AI188" s="72"/>
      <c r="AJ188" s="159">
        <f t="shared" si="102"/>
        <v>2.5000000000000001E-2</v>
      </c>
      <c r="AK188" s="168">
        <f t="shared" si="135"/>
        <v>1137.25</v>
      </c>
      <c r="AL188" s="160">
        <f t="shared" si="136"/>
        <v>1137.25</v>
      </c>
      <c r="AM188" s="168">
        <f t="shared" si="103"/>
        <v>46627.25</v>
      </c>
      <c r="AN188" s="160">
        <f t="shared" si="104"/>
        <v>46627.25</v>
      </c>
      <c r="AO188" s="160" t="str">
        <f t="shared" si="137"/>
        <v>Yes by USD 10,747</v>
      </c>
      <c r="AP188" s="146">
        <f>IF(AQ188=0,0,AQ188/VLOOKUP(S188,Data!$H$22:$I$25,2,FALSE))</f>
        <v>1137.25</v>
      </c>
      <c r="AQ188" s="183">
        <f t="shared" si="105"/>
        <v>1137.25</v>
      </c>
      <c r="AR188" s="165">
        <f t="shared" si="106"/>
        <v>0</v>
      </c>
      <c r="AS188" s="183">
        <f t="shared" si="107"/>
        <v>0</v>
      </c>
      <c r="AT188" s="250">
        <f t="shared" si="108"/>
        <v>0</v>
      </c>
      <c r="AU188" s="146">
        <f t="shared" si="109"/>
        <v>45490</v>
      </c>
      <c r="AV188" s="8">
        <f t="shared" si="110"/>
        <v>45490</v>
      </c>
      <c r="AW188" s="8" t="str">
        <f t="shared" si="111"/>
        <v>Employee to receive full proposed merit increase as a lump sum</v>
      </c>
      <c r="AX188" s="180">
        <f t="shared" si="112"/>
        <v>1.5214046822742475</v>
      </c>
      <c r="AY188" s="146">
        <f t="shared" si="113"/>
        <v>0</v>
      </c>
      <c r="AZ188" s="146">
        <f t="shared" si="114"/>
        <v>0</v>
      </c>
      <c r="BA188" s="22" t="s">
        <v>159</v>
      </c>
      <c r="BB188" s="149"/>
      <c r="BC188" s="149"/>
      <c r="BD188" s="144"/>
      <c r="BE188" s="146" t="str">
        <f t="shared" si="115"/>
        <v/>
      </c>
      <c r="BF188" s="8" t="str">
        <f t="shared" si="116"/>
        <v/>
      </c>
      <c r="BG188" s="8" t="str">
        <f>IF(LEN(BC188)&gt;0,VLOOKUP(BC188,'Job Codes'!B181:I299,7,FALSE),"")</f>
        <v/>
      </c>
      <c r="BH188" s="192" t="str">
        <f>IF(LEN(BC188)&gt;0,VLOOKUP(BC188,'Job Codes'!B181:I299,8,FALSE),"")</f>
        <v/>
      </c>
      <c r="BI188" s="192" t="str">
        <f>IF(LEN(BC188)&gt;0,VLOOKUP(BC188,'Job Codes'!$B$2:$J$120,9,FALSE),"")</f>
        <v/>
      </c>
      <c r="BJ188" s="146" t="str">
        <f>IF(LEN(BC188)&gt;0,VLOOKUP(BC188,'Job Codes'!$B$2:$I$120,4,FALSE),"")</f>
        <v/>
      </c>
      <c r="BK188" s="146" t="str">
        <f>IF(LEN(BC188)&gt;0,VLOOKUP(BC188,'Job Codes'!$B$2:$I$120,5,FALSE),"")</f>
        <v/>
      </c>
      <c r="BL188" s="146" t="str">
        <f>IF(LEN(BC188)&gt;0,VLOOKUP(BC188,'Job Codes'!$B$2:$I$120,6,FALSE),"")</f>
        <v/>
      </c>
      <c r="BM188" s="168">
        <f t="shared" si="117"/>
        <v>45490</v>
      </c>
      <c r="BN188" s="160">
        <f t="shared" si="118"/>
        <v>45490</v>
      </c>
      <c r="BO188" s="22" t="s">
        <v>159</v>
      </c>
      <c r="BP188" s="157">
        <f>VLOOKUP(I188,'Job Codes'!$B$2:$I$120,8,FALSE)</f>
        <v>0</v>
      </c>
      <c r="BQ188" s="25" t="str">
        <f>IF(O188&gt;Data!$H$33,"Yes","No")</f>
        <v>No</v>
      </c>
      <c r="BR188" s="191">
        <v>0</v>
      </c>
      <c r="BS188" s="150">
        <f t="shared" si="119"/>
        <v>0</v>
      </c>
      <c r="BT188" s="25">
        <f t="shared" si="120"/>
        <v>0</v>
      </c>
      <c r="BU188" s="161">
        <v>1</v>
      </c>
      <c r="BV188" s="168">
        <f t="shared" si="121"/>
        <v>0</v>
      </c>
      <c r="BW188" s="160">
        <f t="shared" si="122"/>
        <v>0</v>
      </c>
      <c r="BX188" s="149"/>
      <c r="BY188" s="32">
        <f t="shared" si="123"/>
        <v>0</v>
      </c>
      <c r="BZ188" s="22" t="s">
        <v>159</v>
      </c>
      <c r="CA188" s="231">
        <f>VLOOKUP(I188,'Job Codes'!$B$2:$J$120,9,FALSE)</f>
        <v>0</v>
      </c>
      <c r="CB188" s="253">
        <f t="shared" si="124"/>
        <v>0</v>
      </c>
      <c r="CC188" s="72"/>
      <c r="CD188" s="25" t="str">
        <f t="shared" si="125"/>
        <v>Meets</v>
      </c>
      <c r="CE188" s="27"/>
      <c r="CF188" s="27"/>
      <c r="CG188" s="27"/>
      <c r="CH188" s="27"/>
      <c r="CI188" s="27"/>
      <c r="CJ188" s="3">
        <v>29271</v>
      </c>
      <c r="CK188" s="3" t="s">
        <v>255</v>
      </c>
      <c r="CL188" s="3">
        <v>4569</v>
      </c>
      <c r="CM188" s="3" t="s">
        <v>161</v>
      </c>
      <c r="CN188" s="3">
        <v>4571</v>
      </c>
      <c r="CO188" s="3" t="s">
        <v>162</v>
      </c>
      <c r="CP188" s="3">
        <v>12345</v>
      </c>
      <c r="CQ188" s="3" t="s">
        <v>163</v>
      </c>
      <c r="CR188" s="246" t="s">
        <v>164</v>
      </c>
      <c r="CS188" s="5" t="s">
        <v>165</v>
      </c>
      <c r="CT188" s="246" t="s">
        <v>256</v>
      </c>
      <c r="CU188" s="247" t="s">
        <v>257</v>
      </c>
      <c r="CV188" s="3" t="str">
        <f t="shared" si="126"/>
        <v>67890;86672</v>
      </c>
      <c r="CW188" s="3" t="s">
        <v>168</v>
      </c>
      <c r="CX188" s="3" t="str">
        <f t="shared" si="127"/>
        <v>AB188;;BB188:BD188;BU188;BX188</v>
      </c>
      <c r="CY188" s="5" t="str">
        <f t="shared" si="128"/>
        <v>Unlock</v>
      </c>
      <c r="CZ188" s="5" t="str">
        <f t="shared" si="129"/>
        <v>Lock</v>
      </c>
      <c r="DA188" s="5" t="str">
        <f t="shared" si="130"/>
        <v>Lock</v>
      </c>
      <c r="DB188" s="5" t="str">
        <f t="shared" si="131"/>
        <v>Lock</v>
      </c>
      <c r="DC188" s="5" t="str">
        <f t="shared" si="132"/>
        <v>Lock</v>
      </c>
      <c r="DD188" s="78">
        <f t="shared" si="133"/>
        <v>2</v>
      </c>
      <c r="DE188" s="2"/>
      <c r="DF188" s="2"/>
      <c r="DG188" s="2"/>
      <c r="DH188" s="2"/>
      <c r="DI188" s="2"/>
      <c r="DJ188" s="2"/>
      <c r="DK188" s="5"/>
      <c r="DL188" s="2"/>
      <c r="DM188" s="2"/>
      <c r="DN188" s="2"/>
      <c r="DO188" s="2"/>
      <c r="DP188" s="2"/>
      <c r="DQ188" s="2"/>
      <c r="DR188" s="2"/>
      <c r="DS188" s="2"/>
      <c r="DT188" s="2"/>
      <c r="DU188" s="2"/>
      <c r="DV188" s="2"/>
      <c r="DW188" s="2"/>
      <c r="DX188" s="2"/>
      <c r="DY188" s="2"/>
      <c r="DZ188" s="2"/>
      <c r="EA188" s="2"/>
      <c r="EB188" s="2"/>
      <c r="EC188" s="2"/>
      <c r="ED188" s="2"/>
      <c r="EE188" s="2"/>
      <c r="EF188" s="1"/>
      <c r="EG188" s="98"/>
      <c r="EH188" s="98"/>
      <c r="EI188" s="1"/>
      <c r="EJ188" s="1"/>
      <c r="EK188" s="98"/>
      <c r="EL188" s="1"/>
    </row>
    <row r="189" spans="1:142">
      <c r="A189" s="32">
        <f t="shared" si="92"/>
        <v>20710</v>
      </c>
      <c r="B189" s="3" t="str">
        <f t="shared" si="93"/>
        <v>sv_statement//Statement//Export Statement&amp;PDFID=Adam Shrum_20710&amp;SO=Y</v>
      </c>
      <c r="C189" s="5" t="str">
        <f t="shared" si="134"/>
        <v>Statement</v>
      </c>
      <c r="D189" s="5" t="str">
        <f t="shared" si="94"/>
        <v>Adam Shrum_20710</v>
      </c>
      <c r="E189" s="5"/>
      <c r="F189" s="5">
        <v>20710</v>
      </c>
      <c r="G189" s="22" t="s">
        <v>490</v>
      </c>
      <c r="H189" s="5" t="s">
        <v>367</v>
      </c>
      <c r="I189" s="5" t="s">
        <v>410</v>
      </c>
      <c r="J189" s="5" t="s">
        <v>220</v>
      </c>
      <c r="K189" s="5" t="s">
        <v>221</v>
      </c>
      <c r="L189" s="31">
        <f t="shared" si="95"/>
        <v>29269</v>
      </c>
      <c r="M189" s="5" t="s">
        <v>287</v>
      </c>
      <c r="N189" s="22" t="s">
        <v>155</v>
      </c>
      <c r="O189" s="100">
        <v>37634</v>
      </c>
      <c r="P189" s="146">
        <f>VLOOKUP(I189,'Job Codes'!$B$2:$I$120,4,FALSE)</f>
        <v>20000</v>
      </c>
      <c r="Q189" s="146">
        <f>VLOOKUP(I189,'Job Codes'!$B$2:$I$120,5,FALSE)</f>
        <v>26000</v>
      </c>
      <c r="R189" s="146">
        <f>VLOOKUP(I189,'Job Codes'!$B$2:$I$120,6,FALSE)</f>
        <v>31200</v>
      </c>
      <c r="S189" s="22" t="s">
        <v>171</v>
      </c>
      <c r="T189" s="146">
        <v>41371</v>
      </c>
      <c r="U189" s="8">
        <f>VLOOKUP(S189,Data!$H$22:$I$25,2,FALSE)*T189</f>
        <v>41371</v>
      </c>
      <c r="V189" s="180">
        <f t="shared" si="96"/>
        <v>1.5911923076923078</v>
      </c>
      <c r="W189" s="180">
        <f t="shared" si="97"/>
        <v>0</v>
      </c>
      <c r="X189" s="22" t="str">
        <f t="shared" si="98"/>
        <v>No</v>
      </c>
      <c r="Y189" s="180">
        <f t="shared" si="99"/>
        <v>0</v>
      </c>
      <c r="Z189" s="146">
        <f t="shared" si="100"/>
        <v>0</v>
      </c>
      <c r="AA189" s="146">
        <f t="shared" si="101"/>
        <v>0</v>
      </c>
      <c r="AB189" s="72"/>
      <c r="AC189" s="146">
        <f>AB189/VLOOKUP(S189,Data!$H$22:$I$25,2,FALSE)</f>
        <v>0</v>
      </c>
      <c r="AD189" s="22" t="s">
        <v>157</v>
      </c>
      <c r="AE189" s="146">
        <f>VLOOKUP(S189,Data!$H$22:$J$25,3,FALSE)*T189</f>
        <v>1241.1299999999999</v>
      </c>
      <c r="AF189" s="8">
        <f>VLOOKUP(S189,Data!$H$22:$I$25,2,FALSE)*AE189</f>
        <v>1241.1299999999999</v>
      </c>
      <c r="AG189" s="8" t="s">
        <v>178</v>
      </c>
      <c r="AH189" s="23">
        <v>2.5000000000000001E-2</v>
      </c>
      <c r="AI189" s="72"/>
      <c r="AJ189" s="159">
        <f t="shared" si="102"/>
        <v>2.5000000000000001E-2</v>
      </c>
      <c r="AK189" s="168">
        <f t="shared" si="135"/>
        <v>1034.2750000000001</v>
      </c>
      <c r="AL189" s="160">
        <f t="shared" si="136"/>
        <v>1034.2750000000001</v>
      </c>
      <c r="AM189" s="168">
        <f t="shared" si="103"/>
        <v>42405.275000000001</v>
      </c>
      <c r="AN189" s="160">
        <f t="shared" si="104"/>
        <v>42405.275000000001</v>
      </c>
      <c r="AO189" s="160" t="str">
        <f t="shared" si="137"/>
        <v>Yes by USD 11,205</v>
      </c>
      <c r="AP189" s="146">
        <f>IF(AQ189=0,0,AQ189/VLOOKUP(S189,Data!$H$22:$I$25,2,FALSE))</f>
        <v>1034.2750000000001</v>
      </c>
      <c r="AQ189" s="183">
        <f t="shared" si="105"/>
        <v>1034.2750000000001</v>
      </c>
      <c r="AR189" s="165">
        <f t="shared" si="106"/>
        <v>0</v>
      </c>
      <c r="AS189" s="183">
        <f t="shared" si="107"/>
        <v>0</v>
      </c>
      <c r="AT189" s="250">
        <f t="shared" si="108"/>
        <v>0</v>
      </c>
      <c r="AU189" s="146">
        <f t="shared" si="109"/>
        <v>41371</v>
      </c>
      <c r="AV189" s="8">
        <f t="shared" si="110"/>
        <v>41371</v>
      </c>
      <c r="AW189" s="8" t="str">
        <f t="shared" si="111"/>
        <v>Employee to receive full proposed merit increase as a lump sum</v>
      </c>
      <c r="AX189" s="180">
        <f t="shared" si="112"/>
        <v>1.5911923076923078</v>
      </c>
      <c r="AY189" s="146">
        <f t="shared" si="113"/>
        <v>0</v>
      </c>
      <c r="AZ189" s="146">
        <f t="shared" si="114"/>
        <v>0</v>
      </c>
      <c r="BA189" s="22" t="s">
        <v>159</v>
      </c>
      <c r="BB189" s="149"/>
      <c r="BC189" s="149"/>
      <c r="BD189" s="144"/>
      <c r="BE189" s="146" t="str">
        <f t="shared" si="115"/>
        <v/>
      </c>
      <c r="BF189" s="8" t="str">
        <f t="shared" si="116"/>
        <v/>
      </c>
      <c r="BG189" s="8" t="str">
        <f>IF(LEN(BC189)&gt;0,VLOOKUP(BC189,'Job Codes'!B182:I300,7,FALSE),"")</f>
        <v/>
      </c>
      <c r="BH189" s="192" t="str">
        <f>IF(LEN(BC189)&gt;0,VLOOKUP(BC189,'Job Codes'!B182:I300,8,FALSE),"")</f>
        <v/>
      </c>
      <c r="BI189" s="192" t="str">
        <f>IF(LEN(BC189)&gt;0,VLOOKUP(BC189,'Job Codes'!$B$2:$J$120,9,FALSE),"")</f>
        <v/>
      </c>
      <c r="BJ189" s="146" t="str">
        <f>IF(LEN(BC189)&gt;0,VLOOKUP(BC189,'Job Codes'!$B$2:$I$120,4,FALSE),"")</f>
        <v/>
      </c>
      <c r="BK189" s="146" t="str">
        <f>IF(LEN(BC189)&gt;0,VLOOKUP(BC189,'Job Codes'!$B$2:$I$120,5,FALSE),"")</f>
        <v/>
      </c>
      <c r="BL189" s="146" t="str">
        <f>IF(LEN(BC189)&gt;0,VLOOKUP(BC189,'Job Codes'!$B$2:$I$120,6,FALSE),"")</f>
        <v/>
      </c>
      <c r="BM189" s="168">
        <f t="shared" si="117"/>
        <v>41371</v>
      </c>
      <c r="BN189" s="160">
        <f t="shared" si="118"/>
        <v>41371</v>
      </c>
      <c r="BO189" s="22" t="s">
        <v>159</v>
      </c>
      <c r="BP189" s="157">
        <f>VLOOKUP(I189,'Job Codes'!$B$2:$I$120,8,FALSE)</f>
        <v>0</v>
      </c>
      <c r="BQ189" s="25" t="str">
        <f>IF(O189&gt;Data!$H$33,"Yes","No")</f>
        <v>No</v>
      </c>
      <c r="BR189" s="191">
        <v>0</v>
      </c>
      <c r="BS189" s="150">
        <f t="shared" si="119"/>
        <v>0</v>
      </c>
      <c r="BT189" s="25">
        <f t="shared" si="120"/>
        <v>0</v>
      </c>
      <c r="BU189" s="161">
        <v>1</v>
      </c>
      <c r="BV189" s="168">
        <f t="shared" si="121"/>
        <v>0</v>
      </c>
      <c r="BW189" s="160">
        <f t="shared" si="122"/>
        <v>0</v>
      </c>
      <c r="BX189" s="149"/>
      <c r="BY189" s="32">
        <f t="shared" si="123"/>
        <v>0</v>
      </c>
      <c r="BZ189" s="22" t="s">
        <v>159</v>
      </c>
      <c r="CA189" s="231">
        <f>VLOOKUP(I189,'Job Codes'!$B$2:$J$120,9,FALSE)</f>
        <v>0</v>
      </c>
      <c r="CB189" s="253">
        <f t="shared" si="124"/>
        <v>0</v>
      </c>
      <c r="CC189" s="72"/>
      <c r="CD189" s="25" t="str">
        <f t="shared" si="125"/>
        <v>Meets</v>
      </c>
      <c r="CE189" s="27"/>
      <c r="CF189" s="27"/>
      <c r="CG189" s="27"/>
      <c r="CH189" s="27"/>
      <c r="CI189" s="27"/>
      <c r="CJ189" s="3">
        <v>29271</v>
      </c>
      <c r="CK189" s="3" t="s">
        <v>255</v>
      </c>
      <c r="CL189" s="3">
        <v>4569</v>
      </c>
      <c r="CM189" s="3" t="s">
        <v>161</v>
      </c>
      <c r="CN189" s="3">
        <v>4571</v>
      </c>
      <c r="CO189" s="3" t="s">
        <v>162</v>
      </c>
      <c r="CP189" s="3">
        <v>12345</v>
      </c>
      <c r="CQ189" s="3" t="s">
        <v>163</v>
      </c>
      <c r="CR189" s="246" t="s">
        <v>164</v>
      </c>
      <c r="CS189" s="5" t="s">
        <v>165</v>
      </c>
      <c r="CT189" s="246" t="s">
        <v>256</v>
      </c>
      <c r="CU189" s="247" t="s">
        <v>257</v>
      </c>
      <c r="CV189" s="3" t="str">
        <f t="shared" si="126"/>
        <v>67890;86672</v>
      </c>
      <c r="CW189" s="3" t="s">
        <v>168</v>
      </c>
      <c r="CX189" s="3" t="str">
        <f t="shared" si="127"/>
        <v>AB189;;BB189:BD189;BU189;BX189</v>
      </c>
      <c r="CY189" s="5" t="str">
        <f t="shared" si="128"/>
        <v>Unlock</v>
      </c>
      <c r="CZ189" s="5" t="str">
        <f t="shared" si="129"/>
        <v>Lock</v>
      </c>
      <c r="DA189" s="5" t="str">
        <f t="shared" si="130"/>
        <v>Lock</v>
      </c>
      <c r="DB189" s="5" t="str">
        <f t="shared" si="131"/>
        <v>Lock</v>
      </c>
      <c r="DC189" s="5" t="str">
        <f t="shared" si="132"/>
        <v>Lock</v>
      </c>
      <c r="DD189" s="78">
        <f t="shared" si="133"/>
        <v>2</v>
      </c>
      <c r="DE189" s="2"/>
      <c r="DF189" s="2"/>
      <c r="DG189" s="2"/>
      <c r="DH189" s="2"/>
      <c r="DI189" s="2"/>
      <c r="DJ189" s="2"/>
      <c r="DK189" s="5"/>
      <c r="DL189" s="2"/>
      <c r="DM189" s="2"/>
      <c r="DN189" s="2"/>
      <c r="DO189" s="2"/>
      <c r="DP189" s="2"/>
      <c r="DQ189" s="2"/>
      <c r="DR189" s="2"/>
      <c r="DS189" s="2"/>
      <c r="DT189" s="2"/>
      <c r="DU189" s="2"/>
      <c r="DV189" s="2"/>
      <c r="DW189" s="2"/>
      <c r="DX189" s="2"/>
      <c r="DY189" s="2"/>
      <c r="DZ189" s="2"/>
      <c r="EA189" s="2"/>
      <c r="EB189" s="2"/>
      <c r="EC189" s="2"/>
      <c r="ED189" s="2"/>
      <c r="EE189" s="2"/>
      <c r="EF189" s="1"/>
      <c r="EG189" s="98"/>
      <c r="EH189" s="98"/>
      <c r="EI189" s="1"/>
      <c r="EJ189" s="1"/>
      <c r="EK189" s="98"/>
      <c r="EL189" s="1"/>
    </row>
    <row r="190" spans="1:142">
      <c r="A190" s="32">
        <f t="shared" si="92"/>
        <v>20714</v>
      </c>
      <c r="B190" s="3" t="str">
        <f t="shared" si="93"/>
        <v>sv_statement//Statement//Export Statement&amp;PDFID=Robert Boatwright_20714&amp;SO=Y</v>
      </c>
      <c r="C190" s="5" t="str">
        <f t="shared" si="134"/>
        <v>Statement</v>
      </c>
      <c r="D190" s="5" t="str">
        <f t="shared" si="94"/>
        <v>Robert Boatwright_20714</v>
      </c>
      <c r="E190" s="5"/>
      <c r="F190" s="5">
        <v>20714</v>
      </c>
      <c r="G190" s="22" t="s">
        <v>198</v>
      </c>
      <c r="H190" s="5"/>
      <c r="I190" s="5" t="s">
        <v>481</v>
      </c>
      <c r="J190" s="5" t="s">
        <v>208</v>
      </c>
      <c r="K190" s="5" t="s">
        <v>209</v>
      </c>
      <c r="L190" s="31">
        <f t="shared" si="95"/>
        <v>4569</v>
      </c>
      <c r="M190" s="5" t="s">
        <v>161</v>
      </c>
      <c r="N190" s="22" t="s">
        <v>155</v>
      </c>
      <c r="O190" s="100">
        <v>38488</v>
      </c>
      <c r="P190" s="146">
        <f>VLOOKUP(I190,'Job Codes'!$B$2:$I$120,4,FALSE)</f>
        <v>58000</v>
      </c>
      <c r="Q190" s="146">
        <f>VLOOKUP(I190,'Job Codes'!$B$2:$I$120,5,FALSE)</f>
        <v>75400</v>
      </c>
      <c r="R190" s="146">
        <f>VLOOKUP(I190,'Job Codes'!$B$2:$I$120,6,FALSE)</f>
        <v>90480</v>
      </c>
      <c r="S190" s="22" t="s">
        <v>171</v>
      </c>
      <c r="T190" s="146">
        <v>78000</v>
      </c>
      <c r="U190" s="8">
        <f>VLOOKUP(S190,Data!$H$22:$I$25,2,FALSE)*T190</f>
        <v>78000</v>
      </c>
      <c r="V190" s="180">
        <f t="shared" si="96"/>
        <v>1.0344827586206897</v>
      </c>
      <c r="W190" s="180">
        <f t="shared" si="97"/>
        <v>0</v>
      </c>
      <c r="X190" s="22" t="str">
        <f t="shared" si="98"/>
        <v>No</v>
      </c>
      <c r="Y190" s="180">
        <f t="shared" si="99"/>
        <v>0</v>
      </c>
      <c r="Z190" s="146">
        <f t="shared" si="100"/>
        <v>0</v>
      </c>
      <c r="AA190" s="146">
        <f t="shared" si="101"/>
        <v>0</v>
      </c>
      <c r="AB190" s="72"/>
      <c r="AC190" s="146">
        <f>AB190/VLOOKUP(S190,Data!$H$22:$I$25,2,FALSE)</f>
        <v>0</v>
      </c>
      <c r="AD190" s="22" t="s">
        <v>157</v>
      </c>
      <c r="AE190" s="146">
        <f>VLOOKUP(S190,Data!$H$22:$J$25,3,FALSE)*T190</f>
        <v>2340</v>
      </c>
      <c r="AF190" s="8">
        <f>VLOOKUP(S190,Data!$H$22:$I$25,2,FALSE)*AE190</f>
        <v>2340</v>
      </c>
      <c r="AG190" s="8" t="s">
        <v>178</v>
      </c>
      <c r="AH190" s="23">
        <v>0.02</v>
      </c>
      <c r="AI190" s="72"/>
      <c r="AJ190" s="159">
        <f t="shared" si="102"/>
        <v>0.02</v>
      </c>
      <c r="AK190" s="168">
        <f t="shared" si="135"/>
        <v>1560</v>
      </c>
      <c r="AL190" s="160">
        <f t="shared" si="136"/>
        <v>1560</v>
      </c>
      <c r="AM190" s="168">
        <f t="shared" si="103"/>
        <v>79560</v>
      </c>
      <c r="AN190" s="160">
        <f t="shared" si="104"/>
        <v>79560</v>
      </c>
      <c r="AO190" s="160" t="str">
        <f t="shared" si="137"/>
        <v>No</v>
      </c>
      <c r="AP190" s="146">
        <f>IF(AQ190=0,0,AQ190/VLOOKUP(S190,Data!$H$22:$I$25,2,FALSE))</f>
        <v>0</v>
      </c>
      <c r="AQ190" s="183">
        <f t="shared" si="105"/>
        <v>0</v>
      </c>
      <c r="AR190" s="165">
        <f t="shared" si="106"/>
        <v>1560</v>
      </c>
      <c r="AS190" s="183">
        <f t="shared" si="107"/>
        <v>1560</v>
      </c>
      <c r="AT190" s="250">
        <f t="shared" si="108"/>
        <v>0.02</v>
      </c>
      <c r="AU190" s="146">
        <f t="shared" si="109"/>
        <v>79560</v>
      </c>
      <c r="AV190" s="8">
        <f t="shared" si="110"/>
        <v>79560</v>
      </c>
      <c r="AW190" s="8" t="str">
        <f t="shared" si="111"/>
        <v/>
      </c>
      <c r="AX190" s="180">
        <f t="shared" si="112"/>
        <v>1.0551724137931036</v>
      </c>
      <c r="AY190" s="146">
        <f t="shared" si="113"/>
        <v>0</v>
      </c>
      <c r="AZ190" s="146">
        <f t="shared" si="114"/>
        <v>0</v>
      </c>
      <c r="BA190" s="22" t="s">
        <v>159</v>
      </c>
      <c r="BB190" s="149"/>
      <c r="BC190" s="149"/>
      <c r="BD190" s="144"/>
      <c r="BE190" s="146" t="str">
        <f t="shared" si="115"/>
        <v/>
      </c>
      <c r="BF190" s="8" t="str">
        <f t="shared" si="116"/>
        <v/>
      </c>
      <c r="BG190" s="8" t="str">
        <f>IF(LEN(BC190)&gt;0,VLOOKUP(BC190,'Job Codes'!B183:I301,7,FALSE),"")</f>
        <v/>
      </c>
      <c r="BH190" s="192" t="str">
        <f>IF(LEN(BC190)&gt;0,VLOOKUP(BC190,'Job Codes'!B183:I301,8,FALSE),"")</f>
        <v/>
      </c>
      <c r="BI190" s="192" t="str">
        <f>IF(LEN(BC190)&gt;0,VLOOKUP(BC190,'Job Codes'!$B$2:$J$120,9,FALSE),"")</f>
        <v/>
      </c>
      <c r="BJ190" s="146" t="str">
        <f>IF(LEN(BC190)&gt;0,VLOOKUP(BC190,'Job Codes'!$B$2:$I$120,4,FALSE),"")</f>
        <v/>
      </c>
      <c r="BK190" s="146" t="str">
        <f>IF(LEN(BC190)&gt;0,VLOOKUP(BC190,'Job Codes'!$B$2:$I$120,5,FALSE),"")</f>
        <v/>
      </c>
      <c r="BL190" s="146" t="str">
        <f>IF(LEN(BC190)&gt;0,VLOOKUP(BC190,'Job Codes'!$B$2:$I$120,6,FALSE),"")</f>
        <v/>
      </c>
      <c r="BM190" s="168">
        <f t="shared" si="117"/>
        <v>79560</v>
      </c>
      <c r="BN190" s="160">
        <f t="shared" si="118"/>
        <v>79560</v>
      </c>
      <c r="BO190" s="22" t="s">
        <v>157</v>
      </c>
      <c r="BP190" s="157">
        <f>VLOOKUP(I190,'Job Codes'!$B$2:$I$120,8,FALSE)</f>
        <v>0.2</v>
      </c>
      <c r="BQ190" s="25" t="str">
        <f>IF(O190&gt;Data!$H$33,"Yes","No")</f>
        <v>No</v>
      </c>
      <c r="BR190" s="191">
        <v>0.2</v>
      </c>
      <c r="BS190" s="150">
        <f t="shared" si="119"/>
        <v>15600</v>
      </c>
      <c r="BT190" s="25">
        <f t="shared" si="120"/>
        <v>15600</v>
      </c>
      <c r="BU190" s="161">
        <v>1</v>
      </c>
      <c r="BV190" s="168">
        <f t="shared" si="121"/>
        <v>15600</v>
      </c>
      <c r="BW190" s="160">
        <f t="shared" si="122"/>
        <v>15600</v>
      </c>
      <c r="BX190" s="149"/>
      <c r="BY190" s="32">
        <f t="shared" si="123"/>
        <v>0</v>
      </c>
      <c r="BZ190" s="22" t="s">
        <v>157</v>
      </c>
      <c r="CA190" s="231">
        <f>VLOOKUP(I190,'Job Codes'!$B$2:$J$120,9,FALSE)</f>
        <v>0.2</v>
      </c>
      <c r="CB190" s="253">
        <f t="shared" si="124"/>
        <v>15600</v>
      </c>
      <c r="CC190" s="72"/>
      <c r="CD190" s="25" t="str">
        <f t="shared" si="125"/>
        <v>Meets</v>
      </c>
      <c r="CE190" s="27"/>
      <c r="CF190" s="27"/>
      <c r="CG190" s="27"/>
      <c r="CH190" s="27"/>
      <c r="CI190" s="27"/>
      <c r="CJ190" s="3"/>
      <c r="CK190" s="3"/>
      <c r="CL190" s="3"/>
      <c r="CM190" s="3"/>
      <c r="CN190" s="3">
        <v>4571</v>
      </c>
      <c r="CO190" s="3" t="s">
        <v>162</v>
      </c>
      <c r="CP190" s="3">
        <v>12345</v>
      </c>
      <c r="CQ190" s="3" t="s">
        <v>163</v>
      </c>
      <c r="CR190" s="246" t="s">
        <v>256</v>
      </c>
      <c r="CS190" s="247" t="s">
        <v>257</v>
      </c>
      <c r="CT190" s="246" t="s">
        <v>199</v>
      </c>
      <c r="CU190" s="247" t="s">
        <v>200</v>
      </c>
      <c r="CV190" s="3" t="str">
        <f t="shared" si="126"/>
        <v>86672;36523</v>
      </c>
      <c r="CW190" s="3" t="s">
        <v>168</v>
      </c>
      <c r="CX190" s="3" t="str">
        <f t="shared" si="127"/>
        <v>AB190;;BB190:BD190;;</v>
      </c>
      <c r="CY190" s="5" t="str">
        <f t="shared" si="128"/>
        <v>Unlock</v>
      </c>
      <c r="CZ190" s="5" t="str">
        <f t="shared" si="129"/>
        <v>Lock</v>
      </c>
      <c r="DA190" s="5" t="str">
        <f t="shared" si="130"/>
        <v>Lock</v>
      </c>
      <c r="DB190" s="5" t="str">
        <f t="shared" si="131"/>
        <v>Lock</v>
      </c>
      <c r="DC190" s="5" t="str">
        <f t="shared" si="132"/>
        <v>Lock</v>
      </c>
      <c r="DD190" s="78">
        <f t="shared" si="133"/>
        <v>4</v>
      </c>
      <c r="DE190" s="2"/>
      <c r="DF190" s="2"/>
      <c r="DG190" s="2"/>
      <c r="DH190" s="2"/>
      <c r="DI190" s="2"/>
      <c r="DJ190" s="2"/>
      <c r="DK190" s="5"/>
      <c r="DL190" s="2"/>
      <c r="DM190" s="2"/>
      <c r="DN190" s="2"/>
      <c r="DO190" s="2"/>
      <c r="DP190" s="2"/>
      <c r="DQ190" s="2"/>
      <c r="DR190" s="2"/>
      <c r="DS190" s="2"/>
      <c r="DT190" s="2"/>
      <c r="DU190" s="2"/>
      <c r="DV190" s="2"/>
      <c r="DW190" s="2"/>
      <c r="DX190" s="2"/>
      <c r="DY190" s="2"/>
      <c r="DZ190" s="2"/>
      <c r="EA190" s="2"/>
      <c r="EB190" s="2"/>
      <c r="EC190" s="2"/>
      <c r="ED190" s="2"/>
      <c r="EE190" s="2"/>
      <c r="EF190" s="1"/>
      <c r="EG190" s="98"/>
      <c r="EH190" s="98"/>
      <c r="EI190" s="1"/>
      <c r="EJ190" s="1"/>
      <c r="EK190" s="98"/>
      <c r="EL190" s="1"/>
    </row>
    <row r="191" spans="1:142">
      <c r="A191" s="32">
        <f t="shared" si="92"/>
        <v>20717</v>
      </c>
      <c r="B191" s="3" t="str">
        <f t="shared" si="93"/>
        <v>sv_statement//Statement//Export Statement&amp;PDFID=Kathryn Scharf_20717&amp;SO=Y</v>
      </c>
      <c r="C191" s="5" t="str">
        <f t="shared" si="134"/>
        <v>Statement</v>
      </c>
      <c r="D191" s="5" t="str">
        <f t="shared" si="94"/>
        <v>Kathryn Scharf_20717</v>
      </c>
      <c r="E191" s="5"/>
      <c r="F191" s="5">
        <v>20717</v>
      </c>
      <c r="G191" s="22" t="s">
        <v>491</v>
      </c>
      <c r="H191" s="5" t="s">
        <v>367</v>
      </c>
      <c r="I191" s="5" t="s">
        <v>412</v>
      </c>
      <c r="J191" s="5" t="s">
        <v>252</v>
      </c>
      <c r="K191" s="5" t="s">
        <v>333</v>
      </c>
      <c r="L191" s="31">
        <f t="shared" si="95"/>
        <v>29326</v>
      </c>
      <c r="M191" s="5" t="s">
        <v>334</v>
      </c>
      <c r="N191" s="22" t="s">
        <v>155</v>
      </c>
      <c r="O191" s="100">
        <v>38353</v>
      </c>
      <c r="P191" s="146">
        <f>VLOOKUP(I191,'Job Codes'!$B$2:$I$120,4,FALSE)</f>
        <v>26500</v>
      </c>
      <c r="Q191" s="146">
        <f>VLOOKUP(I191,'Job Codes'!$B$2:$I$120,5,FALSE)</f>
        <v>34450</v>
      </c>
      <c r="R191" s="146">
        <f>VLOOKUP(I191,'Job Codes'!$B$2:$I$120,6,FALSE)</f>
        <v>41340</v>
      </c>
      <c r="S191" s="22" t="s">
        <v>171</v>
      </c>
      <c r="T191" s="146">
        <v>41766</v>
      </c>
      <c r="U191" s="8">
        <f>VLOOKUP(S191,Data!$H$22:$I$25,2,FALSE)*T191</f>
        <v>41766</v>
      </c>
      <c r="V191" s="180">
        <f t="shared" si="96"/>
        <v>1.2123657474600871</v>
      </c>
      <c r="W191" s="180">
        <f t="shared" si="97"/>
        <v>0</v>
      </c>
      <c r="X191" s="22" t="str">
        <f t="shared" si="98"/>
        <v>No</v>
      </c>
      <c r="Y191" s="180">
        <f t="shared" si="99"/>
        <v>0</v>
      </c>
      <c r="Z191" s="146">
        <f t="shared" si="100"/>
        <v>0</v>
      </c>
      <c r="AA191" s="146">
        <f t="shared" si="101"/>
        <v>0</v>
      </c>
      <c r="AB191" s="72"/>
      <c r="AC191" s="146">
        <f>AB191/VLOOKUP(S191,Data!$H$22:$I$25,2,FALSE)</f>
        <v>0</v>
      </c>
      <c r="AD191" s="22" t="s">
        <v>157</v>
      </c>
      <c r="AE191" s="146">
        <f>VLOOKUP(S191,Data!$H$22:$J$25,3,FALSE)*T191</f>
        <v>1252.98</v>
      </c>
      <c r="AF191" s="8">
        <f>VLOOKUP(S191,Data!$H$22:$I$25,2,FALSE)*AE191</f>
        <v>1252.98</v>
      </c>
      <c r="AG191" s="8" t="s">
        <v>158</v>
      </c>
      <c r="AH191" s="23">
        <v>0.03</v>
      </c>
      <c r="AI191" s="72"/>
      <c r="AJ191" s="159">
        <f t="shared" si="102"/>
        <v>0.03</v>
      </c>
      <c r="AK191" s="168">
        <f t="shared" si="135"/>
        <v>1252.98</v>
      </c>
      <c r="AL191" s="160">
        <f t="shared" si="136"/>
        <v>1252.98</v>
      </c>
      <c r="AM191" s="168">
        <f t="shared" si="103"/>
        <v>43018.98</v>
      </c>
      <c r="AN191" s="160">
        <f t="shared" si="104"/>
        <v>43018.98</v>
      </c>
      <c r="AO191" s="160" t="str">
        <f t="shared" si="137"/>
        <v>Yes by USD 1,679</v>
      </c>
      <c r="AP191" s="146">
        <f>IF(AQ191=0,0,AQ191/VLOOKUP(S191,Data!$H$22:$I$25,2,FALSE))</f>
        <v>1252.98</v>
      </c>
      <c r="AQ191" s="183">
        <f t="shared" si="105"/>
        <v>1252.98</v>
      </c>
      <c r="AR191" s="165">
        <f t="shared" si="106"/>
        <v>0</v>
      </c>
      <c r="AS191" s="183">
        <f t="shared" si="107"/>
        <v>0</v>
      </c>
      <c r="AT191" s="250">
        <f t="shared" si="108"/>
        <v>0</v>
      </c>
      <c r="AU191" s="146">
        <f t="shared" si="109"/>
        <v>41766</v>
      </c>
      <c r="AV191" s="8">
        <f t="shared" si="110"/>
        <v>41766</v>
      </c>
      <c r="AW191" s="8" t="str">
        <f t="shared" si="111"/>
        <v>Employee to receive full proposed merit increase as a lump sum</v>
      </c>
      <c r="AX191" s="180">
        <f t="shared" si="112"/>
        <v>1.2123657474600871</v>
      </c>
      <c r="AY191" s="146">
        <f t="shared" si="113"/>
        <v>0</v>
      </c>
      <c r="AZ191" s="146">
        <f t="shared" si="114"/>
        <v>0</v>
      </c>
      <c r="BA191" s="22" t="s">
        <v>159</v>
      </c>
      <c r="BB191" s="149"/>
      <c r="BC191" s="149"/>
      <c r="BD191" s="144"/>
      <c r="BE191" s="146" t="str">
        <f t="shared" si="115"/>
        <v/>
      </c>
      <c r="BF191" s="8" t="str">
        <f t="shared" si="116"/>
        <v/>
      </c>
      <c r="BG191" s="8" t="str">
        <f>IF(LEN(BC191)&gt;0,VLOOKUP(BC191,'Job Codes'!B184:I302,7,FALSE),"")</f>
        <v/>
      </c>
      <c r="BH191" s="192" t="str">
        <f>IF(LEN(BC191)&gt;0,VLOOKUP(BC191,'Job Codes'!B184:I302,8,FALSE),"")</f>
        <v/>
      </c>
      <c r="BI191" s="192" t="str">
        <f>IF(LEN(BC191)&gt;0,VLOOKUP(BC191,'Job Codes'!$B$2:$J$120,9,FALSE),"")</f>
        <v/>
      </c>
      <c r="BJ191" s="146" t="str">
        <f>IF(LEN(BC191)&gt;0,VLOOKUP(BC191,'Job Codes'!$B$2:$I$120,4,FALSE),"")</f>
        <v/>
      </c>
      <c r="BK191" s="146" t="str">
        <f>IF(LEN(BC191)&gt;0,VLOOKUP(BC191,'Job Codes'!$B$2:$I$120,5,FALSE),"")</f>
        <v/>
      </c>
      <c r="BL191" s="146" t="str">
        <f>IF(LEN(BC191)&gt;0,VLOOKUP(BC191,'Job Codes'!$B$2:$I$120,6,FALSE),"")</f>
        <v/>
      </c>
      <c r="BM191" s="168">
        <f t="shared" si="117"/>
        <v>41766</v>
      </c>
      <c r="BN191" s="160">
        <f t="shared" si="118"/>
        <v>41766</v>
      </c>
      <c r="BO191" s="22" t="s">
        <v>157</v>
      </c>
      <c r="BP191" s="157">
        <f>VLOOKUP(I191,'Job Codes'!$B$2:$I$120,8,FALSE)</f>
        <v>0.05</v>
      </c>
      <c r="BQ191" s="25" t="str">
        <f>IF(O191&gt;Data!$H$33,"Yes","No")</f>
        <v>No</v>
      </c>
      <c r="BR191" s="191">
        <v>0.05</v>
      </c>
      <c r="BS191" s="150">
        <f t="shared" si="119"/>
        <v>2088.3000000000002</v>
      </c>
      <c r="BT191" s="25">
        <f t="shared" si="120"/>
        <v>2088.3000000000002</v>
      </c>
      <c r="BU191" s="161">
        <v>1</v>
      </c>
      <c r="BV191" s="168">
        <f t="shared" si="121"/>
        <v>2088.3000000000002</v>
      </c>
      <c r="BW191" s="160">
        <f t="shared" si="122"/>
        <v>2088.3000000000002</v>
      </c>
      <c r="BX191" s="149"/>
      <c r="BY191" s="32">
        <f t="shared" si="123"/>
        <v>0</v>
      </c>
      <c r="BZ191" s="22" t="s">
        <v>159</v>
      </c>
      <c r="CA191" s="231">
        <f>VLOOKUP(I191,'Job Codes'!$B$2:$J$120,9,FALSE)</f>
        <v>0</v>
      </c>
      <c r="CB191" s="253">
        <f t="shared" si="124"/>
        <v>0</v>
      </c>
      <c r="CC191" s="72"/>
      <c r="CD191" s="25" t="str">
        <f t="shared" si="125"/>
        <v>Exceeds</v>
      </c>
      <c r="CE191" s="27"/>
      <c r="CF191" s="27"/>
      <c r="CG191" s="27"/>
      <c r="CH191" s="27"/>
      <c r="CI191" s="27"/>
      <c r="CJ191" s="3">
        <v>29271</v>
      </c>
      <c r="CK191" s="3" t="s">
        <v>255</v>
      </c>
      <c r="CL191" s="3">
        <v>4569</v>
      </c>
      <c r="CM191" s="3" t="s">
        <v>161</v>
      </c>
      <c r="CN191" s="3">
        <v>4571</v>
      </c>
      <c r="CO191" s="3" t="s">
        <v>162</v>
      </c>
      <c r="CP191" s="3">
        <v>12345</v>
      </c>
      <c r="CQ191" s="3" t="s">
        <v>163</v>
      </c>
      <c r="CR191" s="246" t="s">
        <v>164</v>
      </c>
      <c r="CS191" s="5" t="s">
        <v>165</v>
      </c>
      <c r="CT191" s="246" t="s">
        <v>256</v>
      </c>
      <c r="CU191" s="247" t="s">
        <v>257</v>
      </c>
      <c r="CV191" s="3" t="str">
        <f t="shared" si="126"/>
        <v>67890;86672</v>
      </c>
      <c r="CW191" s="3" t="s">
        <v>168</v>
      </c>
      <c r="CX191" s="3" t="str">
        <f t="shared" si="127"/>
        <v>AB191;;BB191:BD191;;CC191</v>
      </c>
      <c r="CY191" s="5" t="str">
        <f t="shared" si="128"/>
        <v>Unlock</v>
      </c>
      <c r="CZ191" s="5" t="str">
        <f t="shared" si="129"/>
        <v>Lock</v>
      </c>
      <c r="DA191" s="5" t="str">
        <f t="shared" si="130"/>
        <v>Lock</v>
      </c>
      <c r="DB191" s="5" t="str">
        <f t="shared" si="131"/>
        <v>Lock</v>
      </c>
      <c r="DC191" s="5" t="str">
        <f t="shared" si="132"/>
        <v>Lock</v>
      </c>
      <c r="DD191" s="78">
        <f t="shared" si="133"/>
        <v>2</v>
      </c>
      <c r="DE191" s="2"/>
      <c r="DF191" s="2"/>
      <c r="DG191" s="2"/>
      <c r="DH191" s="2"/>
      <c r="DI191" s="2"/>
      <c r="DJ191" s="2"/>
      <c r="DK191" s="5"/>
      <c r="DL191" s="2"/>
      <c r="DM191" s="2"/>
      <c r="DN191" s="2"/>
      <c r="DO191" s="2"/>
      <c r="DP191" s="2"/>
      <c r="DQ191" s="2"/>
      <c r="DR191" s="2"/>
      <c r="DS191" s="2"/>
      <c r="DT191" s="2"/>
      <c r="DU191" s="2"/>
      <c r="DV191" s="2"/>
      <c r="DW191" s="2"/>
      <c r="DX191" s="2"/>
      <c r="DY191" s="2"/>
      <c r="DZ191" s="2"/>
      <c r="EA191" s="2"/>
      <c r="EB191" s="2"/>
      <c r="EC191" s="2"/>
      <c r="ED191" s="2"/>
      <c r="EE191" s="2"/>
      <c r="EF191" s="1"/>
      <c r="EG191" s="98"/>
      <c r="EH191" s="98"/>
      <c r="EI191" s="1"/>
      <c r="EJ191" s="1"/>
      <c r="EK191" s="98"/>
      <c r="EL191" s="1"/>
    </row>
    <row r="192" spans="1:142">
      <c r="A192" s="32">
        <f t="shared" si="92"/>
        <v>20732</v>
      </c>
      <c r="B192" s="3" t="str">
        <f t="shared" si="93"/>
        <v>sv_statement//Statement//Export Statement&amp;PDFID=Art Haney_20732&amp;SO=Y</v>
      </c>
      <c r="C192" s="5" t="str">
        <f t="shared" si="134"/>
        <v>Statement</v>
      </c>
      <c r="D192" s="5" t="str">
        <f t="shared" si="94"/>
        <v>Art Haney_20732</v>
      </c>
      <c r="E192" s="5"/>
      <c r="F192" s="5">
        <v>20732</v>
      </c>
      <c r="G192" s="22" t="s">
        <v>492</v>
      </c>
      <c r="H192" s="5" t="s">
        <v>367</v>
      </c>
      <c r="I192" s="5" t="s">
        <v>400</v>
      </c>
      <c r="J192" s="5" t="s">
        <v>252</v>
      </c>
      <c r="K192" s="5" t="s">
        <v>253</v>
      </c>
      <c r="L192" s="31">
        <f t="shared" si="95"/>
        <v>29342</v>
      </c>
      <c r="M192" s="5" t="s">
        <v>254</v>
      </c>
      <c r="N192" s="22" t="s">
        <v>155</v>
      </c>
      <c r="O192" s="100">
        <v>37987</v>
      </c>
      <c r="P192" s="146">
        <f>VLOOKUP(I192,'Job Codes'!$B$2:$I$120,4,FALSE)</f>
        <v>26500</v>
      </c>
      <c r="Q192" s="146">
        <f>VLOOKUP(I192,'Job Codes'!$B$2:$I$120,5,FALSE)</f>
        <v>34450</v>
      </c>
      <c r="R192" s="146">
        <f>VLOOKUP(I192,'Job Codes'!$B$2:$I$120,6,FALSE)</f>
        <v>41340</v>
      </c>
      <c r="S192" s="22" t="s">
        <v>171</v>
      </c>
      <c r="T192" s="146">
        <v>35859</v>
      </c>
      <c r="U192" s="8">
        <f>VLOOKUP(S192,Data!$H$22:$I$25,2,FALSE)*T192</f>
        <v>35859</v>
      </c>
      <c r="V192" s="180">
        <f t="shared" si="96"/>
        <v>1.0408998548621191</v>
      </c>
      <c r="W192" s="180">
        <f t="shared" si="97"/>
        <v>0</v>
      </c>
      <c r="X192" s="22" t="str">
        <f t="shared" si="98"/>
        <v>No</v>
      </c>
      <c r="Y192" s="180">
        <f t="shared" si="99"/>
        <v>0</v>
      </c>
      <c r="Z192" s="146">
        <f t="shared" si="100"/>
        <v>0</v>
      </c>
      <c r="AA192" s="146">
        <f t="shared" si="101"/>
        <v>0</v>
      </c>
      <c r="AB192" s="72"/>
      <c r="AC192" s="146">
        <f>AB192/VLOOKUP(S192,Data!$H$22:$I$25,2,FALSE)</f>
        <v>0</v>
      </c>
      <c r="AD192" s="22" t="s">
        <v>157</v>
      </c>
      <c r="AE192" s="146">
        <f>VLOOKUP(S192,Data!$H$22:$J$25,3,FALSE)*T192</f>
        <v>1075.77</v>
      </c>
      <c r="AF192" s="8">
        <f>VLOOKUP(S192,Data!$H$22:$I$25,2,FALSE)*AE192</f>
        <v>1075.77</v>
      </c>
      <c r="AG192" s="8" t="s">
        <v>178</v>
      </c>
      <c r="AH192" s="23">
        <v>2.5000000000000001E-2</v>
      </c>
      <c r="AI192" s="72"/>
      <c r="AJ192" s="159">
        <f t="shared" si="102"/>
        <v>2.5000000000000001E-2</v>
      </c>
      <c r="AK192" s="168">
        <f t="shared" si="135"/>
        <v>896.47500000000002</v>
      </c>
      <c r="AL192" s="160">
        <f t="shared" si="136"/>
        <v>896.47500000000002</v>
      </c>
      <c r="AM192" s="168">
        <f t="shared" si="103"/>
        <v>36755.474999999999</v>
      </c>
      <c r="AN192" s="160">
        <f t="shared" si="104"/>
        <v>36755.474999999999</v>
      </c>
      <c r="AO192" s="160" t="str">
        <f t="shared" si="137"/>
        <v>No</v>
      </c>
      <c r="AP192" s="146">
        <f>IF(AQ192=0,0,AQ192/VLOOKUP(S192,Data!$H$22:$I$25,2,FALSE))</f>
        <v>0</v>
      </c>
      <c r="AQ192" s="183">
        <f t="shared" si="105"/>
        <v>0</v>
      </c>
      <c r="AR192" s="165">
        <f t="shared" si="106"/>
        <v>896.47500000000002</v>
      </c>
      <c r="AS192" s="183">
        <f t="shared" si="107"/>
        <v>896.47500000000002</v>
      </c>
      <c r="AT192" s="250">
        <f t="shared" si="108"/>
        <v>2.5000000000000001E-2</v>
      </c>
      <c r="AU192" s="146">
        <f t="shared" si="109"/>
        <v>36755.474999999999</v>
      </c>
      <c r="AV192" s="8">
        <f t="shared" si="110"/>
        <v>36755.474999999999</v>
      </c>
      <c r="AW192" s="8" t="str">
        <f t="shared" si="111"/>
        <v/>
      </c>
      <c r="AX192" s="180">
        <f t="shared" si="112"/>
        <v>1.0669223512336719</v>
      </c>
      <c r="AY192" s="146">
        <f t="shared" si="113"/>
        <v>0</v>
      </c>
      <c r="AZ192" s="146">
        <f t="shared" si="114"/>
        <v>0</v>
      </c>
      <c r="BA192" s="22" t="s">
        <v>159</v>
      </c>
      <c r="BB192" s="149"/>
      <c r="BC192" s="149"/>
      <c r="BD192" s="144"/>
      <c r="BE192" s="146" t="str">
        <f t="shared" si="115"/>
        <v/>
      </c>
      <c r="BF192" s="8" t="str">
        <f t="shared" si="116"/>
        <v/>
      </c>
      <c r="BG192" s="8" t="str">
        <f>IF(LEN(BC192)&gt;0,VLOOKUP(BC192,'Job Codes'!B185:I303,7,FALSE),"")</f>
        <v/>
      </c>
      <c r="BH192" s="192" t="str">
        <f>IF(LEN(BC192)&gt;0,VLOOKUP(BC192,'Job Codes'!B185:I303,8,FALSE),"")</f>
        <v/>
      </c>
      <c r="BI192" s="192" t="str">
        <f>IF(LEN(BC192)&gt;0,VLOOKUP(BC192,'Job Codes'!$B$2:$J$120,9,FALSE),"")</f>
        <v/>
      </c>
      <c r="BJ192" s="146" t="str">
        <f>IF(LEN(BC192)&gt;0,VLOOKUP(BC192,'Job Codes'!$B$2:$I$120,4,FALSE),"")</f>
        <v/>
      </c>
      <c r="BK192" s="146" t="str">
        <f>IF(LEN(BC192)&gt;0,VLOOKUP(BC192,'Job Codes'!$B$2:$I$120,5,FALSE),"")</f>
        <v/>
      </c>
      <c r="BL192" s="146" t="str">
        <f>IF(LEN(BC192)&gt;0,VLOOKUP(BC192,'Job Codes'!$B$2:$I$120,6,FALSE),"")</f>
        <v/>
      </c>
      <c r="BM192" s="168">
        <f t="shared" si="117"/>
        <v>36755.474999999999</v>
      </c>
      <c r="BN192" s="160">
        <f t="shared" si="118"/>
        <v>36755.474999999999</v>
      </c>
      <c r="BO192" s="22" t="s">
        <v>157</v>
      </c>
      <c r="BP192" s="157">
        <f>VLOOKUP(I192,'Job Codes'!$B$2:$I$120,8,FALSE)</f>
        <v>0.05</v>
      </c>
      <c r="BQ192" s="25" t="str">
        <f>IF(O192&gt;Data!$H$33,"Yes","No")</f>
        <v>No</v>
      </c>
      <c r="BR192" s="191">
        <v>0.05</v>
      </c>
      <c r="BS192" s="150">
        <f t="shared" si="119"/>
        <v>1792.95</v>
      </c>
      <c r="BT192" s="25">
        <f t="shared" si="120"/>
        <v>1792.95</v>
      </c>
      <c r="BU192" s="161">
        <v>1</v>
      </c>
      <c r="BV192" s="168">
        <f t="shared" si="121"/>
        <v>1792.95</v>
      </c>
      <c r="BW192" s="160">
        <f t="shared" si="122"/>
        <v>1792.95</v>
      </c>
      <c r="BX192" s="149"/>
      <c r="BY192" s="32">
        <f t="shared" si="123"/>
        <v>0</v>
      </c>
      <c r="BZ192" s="22" t="s">
        <v>159</v>
      </c>
      <c r="CA192" s="231">
        <f>VLOOKUP(I192,'Job Codes'!$B$2:$J$120,9,FALSE)</f>
        <v>0</v>
      </c>
      <c r="CB192" s="253">
        <f t="shared" si="124"/>
        <v>0</v>
      </c>
      <c r="CC192" s="72"/>
      <c r="CD192" s="25" t="str">
        <f t="shared" si="125"/>
        <v>Meets</v>
      </c>
      <c r="CE192" s="27"/>
      <c r="CF192" s="27"/>
      <c r="CG192" s="27"/>
      <c r="CH192" s="27"/>
      <c r="CI192" s="27"/>
      <c r="CJ192" s="3">
        <v>29271</v>
      </c>
      <c r="CK192" s="3" t="s">
        <v>255</v>
      </c>
      <c r="CL192" s="3">
        <v>4569</v>
      </c>
      <c r="CM192" s="3" t="s">
        <v>161</v>
      </c>
      <c r="CN192" s="3">
        <v>4571</v>
      </c>
      <c r="CO192" s="3" t="s">
        <v>162</v>
      </c>
      <c r="CP192" s="3">
        <v>12345</v>
      </c>
      <c r="CQ192" s="3" t="s">
        <v>163</v>
      </c>
      <c r="CR192" s="246" t="s">
        <v>164</v>
      </c>
      <c r="CS192" s="5" t="s">
        <v>165</v>
      </c>
      <c r="CT192" s="246" t="s">
        <v>256</v>
      </c>
      <c r="CU192" s="247" t="s">
        <v>257</v>
      </c>
      <c r="CV192" s="3" t="str">
        <f t="shared" si="126"/>
        <v>67890;86672</v>
      </c>
      <c r="CW192" s="3" t="s">
        <v>168</v>
      </c>
      <c r="CX192" s="3" t="str">
        <f t="shared" si="127"/>
        <v>AB192;;BB192:BD192;;CC192</v>
      </c>
      <c r="CY192" s="5" t="str">
        <f t="shared" si="128"/>
        <v>Unlock</v>
      </c>
      <c r="CZ192" s="5" t="str">
        <f t="shared" si="129"/>
        <v>Lock</v>
      </c>
      <c r="DA192" s="5" t="str">
        <f t="shared" si="130"/>
        <v>Lock</v>
      </c>
      <c r="DB192" s="5" t="str">
        <f t="shared" si="131"/>
        <v>Lock</v>
      </c>
      <c r="DC192" s="5" t="str">
        <f t="shared" si="132"/>
        <v>Lock</v>
      </c>
      <c r="DD192" s="78">
        <f t="shared" si="133"/>
        <v>2</v>
      </c>
      <c r="DE192" s="2"/>
      <c r="DF192" s="2"/>
      <c r="DG192" s="2"/>
      <c r="DH192" s="2"/>
      <c r="DI192" s="2"/>
      <c r="DJ192" s="2"/>
      <c r="DK192" s="5"/>
      <c r="DL192" s="2"/>
      <c r="DM192" s="2"/>
      <c r="DN192" s="2"/>
      <c r="DO192" s="2"/>
      <c r="DP192" s="2"/>
      <c r="DQ192" s="2"/>
      <c r="DR192" s="2"/>
      <c r="DS192" s="2"/>
      <c r="DT192" s="2"/>
      <c r="DU192" s="2"/>
      <c r="DV192" s="2"/>
      <c r="DW192" s="2"/>
      <c r="DX192" s="2"/>
      <c r="DY192" s="2"/>
      <c r="DZ192" s="2"/>
      <c r="EA192" s="2"/>
      <c r="EB192" s="2"/>
      <c r="EC192" s="2"/>
      <c r="ED192" s="2"/>
      <c r="EE192" s="2"/>
      <c r="EF192" s="1"/>
      <c r="EG192" s="98"/>
      <c r="EH192" s="98"/>
      <c r="EI192" s="1"/>
      <c r="EJ192" s="1"/>
      <c r="EK192" s="98"/>
      <c r="EL192" s="1"/>
    </row>
    <row r="193" spans="1:142">
      <c r="A193" s="32">
        <f t="shared" si="92"/>
        <v>20734</v>
      </c>
      <c r="B193" s="3" t="str">
        <f t="shared" si="93"/>
        <v>sv_statement//Statement//Export Statement&amp;PDFID=Monique Highsmith_20734&amp;SO=Y</v>
      </c>
      <c r="C193" s="5" t="str">
        <f t="shared" si="134"/>
        <v>Statement</v>
      </c>
      <c r="D193" s="5" t="str">
        <f t="shared" si="94"/>
        <v>Monique Highsmith_20734</v>
      </c>
      <c r="E193" s="5"/>
      <c r="F193" s="5">
        <v>20734</v>
      </c>
      <c r="G193" s="22" t="s">
        <v>493</v>
      </c>
      <c r="H193" s="5" t="s">
        <v>367</v>
      </c>
      <c r="I193" s="5" t="s">
        <v>494</v>
      </c>
      <c r="J193" s="5" t="s">
        <v>252</v>
      </c>
      <c r="K193" s="5" t="s">
        <v>319</v>
      </c>
      <c r="L193" s="31">
        <f t="shared" si="95"/>
        <v>29331</v>
      </c>
      <c r="M193" s="5" t="s">
        <v>320</v>
      </c>
      <c r="N193" s="22" t="s">
        <v>155</v>
      </c>
      <c r="O193" s="100">
        <v>38174</v>
      </c>
      <c r="P193" s="146">
        <f>VLOOKUP(I193,'Job Codes'!$B$2:$I$120,4,FALSE)</f>
        <v>27000</v>
      </c>
      <c r="Q193" s="146">
        <f>VLOOKUP(I193,'Job Codes'!$B$2:$I$120,5,FALSE)</f>
        <v>35100</v>
      </c>
      <c r="R193" s="146">
        <f>VLOOKUP(I193,'Job Codes'!$B$2:$I$120,6,FALSE)</f>
        <v>42120</v>
      </c>
      <c r="S193" s="22" t="s">
        <v>171</v>
      </c>
      <c r="T193" s="146">
        <v>42598</v>
      </c>
      <c r="U193" s="8">
        <f>VLOOKUP(S193,Data!$H$22:$I$25,2,FALSE)*T193</f>
        <v>42598</v>
      </c>
      <c r="V193" s="180">
        <f t="shared" si="96"/>
        <v>1.2136182336182335</v>
      </c>
      <c r="W193" s="180">
        <f t="shared" si="97"/>
        <v>0</v>
      </c>
      <c r="X193" s="22" t="str">
        <f t="shared" si="98"/>
        <v>No</v>
      </c>
      <c r="Y193" s="180">
        <f t="shared" si="99"/>
        <v>0</v>
      </c>
      <c r="Z193" s="146">
        <f t="shared" si="100"/>
        <v>0</v>
      </c>
      <c r="AA193" s="146">
        <f t="shared" si="101"/>
        <v>0</v>
      </c>
      <c r="AB193" s="72"/>
      <c r="AC193" s="146">
        <f>AB193/VLOOKUP(S193,Data!$H$22:$I$25,2,FALSE)</f>
        <v>0</v>
      </c>
      <c r="AD193" s="22" t="s">
        <v>157</v>
      </c>
      <c r="AE193" s="146">
        <f>VLOOKUP(S193,Data!$H$22:$J$25,3,FALSE)*T193</f>
        <v>1277.94</v>
      </c>
      <c r="AF193" s="8">
        <f>VLOOKUP(S193,Data!$H$22:$I$25,2,FALSE)*AE193</f>
        <v>1277.94</v>
      </c>
      <c r="AG193" s="8" t="s">
        <v>178</v>
      </c>
      <c r="AH193" s="23">
        <v>2.5000000000000001E-2</v>
      </c>
      <c r="AI193" s="72"/>
      <c r="AJ193" s="159">
        <f t="shared" si="102"/>
        <v>2.5000000000000001E-2</v>
      </c>
      <c r="AK193" s="168">
        <f t="shared" si="135"/>
        <v>1064.95</v>
      </c>
      <c r="AL193" s="160">
        <f t="shared" si="136"/>
        <v>1064.95</v>
      </c>
      <c r="AM193" s="168">
        <f t="shared" si="103"/>
        <v>43662.95</v>
      </c>
      <c r="AN193" s="160">
        <f t="shared" si="104"/>
        <v>43662.95</v>
      </c>
      <c r="AO193" s="160" t="str">
        <f t="shared" si="137"/>
        <v>Yes by USD 1,543</v>
      </c>
      <c r="AP193" s="146">
        <f>IF(AQ193=0,0,AQ193/VLOOKUP(S193,Data!$H$22:$I$25,2,FALSE))</f>
        <v>1064.95</v>
      </c>
      <c r="AQ193" s="183">
        <f t="shared" si="105"/>
        <v>1064.95</v>
      </c>
      <c r="AR193" s="165">
        <f t="shared" si="106"/>
        <v>0</v>
      </c>
      <c r="AS193" s="183">
        <f t="shared" si="107"/>
        <v>0</v>
      </c>
      <c r="AT193" s="250">
        <f t="shared" si="108"/>
        <v>0</v>
      </c>
      <c r="AU193" s="146">
        <f t="shared" si="109"/>
        <v>42598</v>
      </c>
      <c r="AV193" s="8">
        <f t="shared" si="110"/>
        <v>42598</v>
      </c>
      <c r="AW193" s="8" t="str">
        <f t="shared" si="111"/>
        <v>Employee to receive full proposed merit increase as a lump sum</v>
      </c>
      <c r="AX193" s="180">
        <f t="shared" si="112"/>
        <v>1.2136182336182335</v>
      </c>
      <c r="AY193" s="146">
        <f t="shared" si="113"/>
        <v>0</v>
      </c>
      <c r="AZ193" s="146">
        <f t="shared" si="114"/>
        <v>0</v>
      </c>
      <c r="BA193" s="22" t="s">
        <v>159</v>
      </c>
      <c r="BB193" s="149"/>
      <c r="BC193" s="149"/>
      <c r="BD193" s="144"/>
      <c r="BE193" s="146" t="str">
        <f t="shared" si="115"/>
        <v/>
      </c>
      <c r="BF193" s="8" t="str">
        <f t="shared" si="116"/>
        <v/>
      </c>
      <c r="BG193" s="8" t="str">
        <f>IF(LEN(BC193)&gt;0,VLOOKUP(BC193,'Job Codes'!B186:I304,7,FALSE),"")</f>
        <v/>
      </c>
      <c r="BH193" s="192" t="str">
        <f>IF(LEN(BC193)&gt;0,VLOOKUP(BC193,'Job Codes'!B186:I304,8,FALSE),"")</f>
        <v/>
      </c>
      <c r="BI193" s="192" t="str">
        <f>IF(LEN(BC193)&gt;0,VLOOKUP(BC193,'Job Codes'!$B$2:$J$120,9,FALSE),"")</f>
        <v/>
      </c>
      <c r="BJ193" s="146" t="str">
        <f>IF(LEN(BC193)&gt;0,VLOOKUP(BC193,'Job Codes'!$B$2:$I$120,4,FALSE),"")</f>
        <v/>
      </c>
      <c r="BK193" s="146" t="str">
        <f>IF(LEN(BC193)&gt;0,VLOOKUP(BC193,'Job Codes'!$B$2:$I$120,5,FALSE),"")</f>
        <v/>
      </c>
      <c r="BL193" s="146" t="str">
        <f>IF(LEN(BC193)&gt;0,VLOOKUP(BC193,'Job Codes'!$B$2:$I$120,6,FALSE),"")</f>
        <v/>
      </c>
      <c r="BM193" s="168">
        <f t="shared" si="117"/>
        <v>42598</v>
      </c>
      <c r="BN193" s="160">
        <f t="shared" si="118"/>
        <v>42598</v>
      </c>
      <c r="BO193" s="22" t="s">
        <v>157</v>
      </c>
      <c r="BP193" s="157">
        <f>VLOOKUP(I193,'Job Codes'!$B$2:$I$120,8,FALSE)</f>
        <v>0.05</v>
      </c>
      <c r="BQ193" s="25" t="str">
        <f>IF(O193&gt;Data!$H$33,"Yes","No")</f>
        <v>No</v>
      </c>
      <c r="BR193" s="191">
        <v>0.05</v>
      </c>
      <c r="BS193" s="150">
        <f t="shared" si="119"/>
        <v>2129.9</v>
      </c>
      <c r="BT193" s="25">
        <f t="shared" si="120"/>
        <v>2129.9</v>
      </c>
      <c r="BU193" s="161">
        <v>1</v>
      </c>
      <c r="BV193" s="168">
        <f t="shared" si="121"/>
        <v>2129.9</v>
      </c>
      <c r="BW193" s="160">
        <f t="shared" si="122"/>
        <v>2129.9</v>
      </c>
      <c r="BX193" s="149"/>
      <c r="BY193" s="32">
        <f t="shared" si="123"/>
        <v>0</v>
      </c>
      <c r="BZ193" s="22" t="s">
        <v>159</v>
      </c>
      <c r="CA193" s="231">
        <f>VLOOKUP(I193,'Job Codes'!$B$2:$J$120,9,FALSE)</f>
        <v>0</v>
      </c>
      <c r="CB193" s="253">
        <f t="shared" si="124"/>
        <v>0</v>
      </c>
      <c r="CC193" s="72"/>
      <c r="CD193" s="25" t="str">
        <f t="shared" si="125"/>
        <v>Meets</v>
      </c>
      <c r="CE193" s="27"/>
      <c r="CF193" s="27"/>
      <c r="CG193" s="27"/>
      <c r="CH193" s="27"/>
      <c r="CI193" s="27"/>
      <c r="CJ193" s="3">
        <v>29271</v>
      </c>
      <c r="CK193" s="3" t="s">
        <v>255</v>
      </c>
      <c r="CL193" s="3">
        <v>4569</v>
      </c>
      <c r="CM193" s="3" t="s">
        <v>161</v>
      </c>
      <c r="CN193" s="3">
        <v>4571</v>
      </c>
      <c r="CO193" s="3" t="s">
        <v>162</v>
      </c>
      <c r="CP193" s="3">
        <v>12345</v>
      </c>
      <c r="CQ193" s="3" t="s">
        <v>163</v>
      </c>
      <c r="CR193" s="246" t="s">
        <v>164</v>
      </c>
      <c r="CS193" s="5" t="s">
        <v>165</v>
      </c>
      <c r="CT193" s="246" t="s">
        <v>256</v>
      </c>
      <c r="CU193" s="247" t="s">
        <v>257</v>
      </c>
      <c r="CV193" s="3" t="str">
        <f t="shared" si="126"/>
        <v>67890;86672</v>
      </c>
      <c r="CW193" s="3" t="s">
        <v>168</v>
      </c>
      <c r="CX193" s="3" t="str">
        <f t="shared" si="127"/>
        <v>AB193;;BB193:BD193;;CC193</v>
      </c>
      <c r="CY193" s="5" t="str">
        <f t="shared" si="128"/>
        <v>Unlock</v>
      </c>
      <c r="CZ193" s="5" t="str">
        <f t="shared" si="129"/>
        <v>Lock</v>
      </c>
      <c r="DA193" s="5" t="str">
        <f t="shared" si="130"/>
        <v>Lock</v>
      </c>
      <c r="DB193" s="5" t="str">
        <f t="shared" si="131"/>
        <v>Lock</v>
      </c>
      <c r="DC193" s="5" t="str">
        <f t="shared" si="132"/>
        <v>Lock</v>
      </c>
      <c r="DD193" s="78">
        <f t="shared" si="133"/>
        <v>2</v>
      </c>
      <c r="DE193" s="2"/>
      <c r="DF193" s="2"/>
      <c r="DG193" s="2"/>
      <c r="DH193" s="2"/>
      <c r="DI193" s="2"/>
      <c r="DJ193" s="2"/>
      <c r="DK193" s="5"/>
      <c r="DL193" s="2"/>
      <c r="DM193" s="2"/>
      <c r="DN193" s="2"/>
      <c r="DO193" s="2"/>
      <c r="DP193" s="2"/>
      <c r="DQ193" s="2"/>
      <c r="DR193" s="2"/>
      <c r="DS193" s="2"/>
      <c r="DT193" s="2"/>
      <c r="DU193" s="2"/>
      <c r="DV193" s="2"/>
      <c r="DW193" s="2"/>
      <c r="DX193" s="2"/>
      <c r="DY193" s="2"/>
      <c r="DZ193" s="2"/>
      <c r="EA193" s="2"/>
      <c r="EB193" s="2"/>
      <c r="EC193" s="2"/>
      <c r="ED193" s="2"/>
      <c r="EE193" s="2"/>
      <c r="EF193" s="1"/>
      <c r="EG193" s="98"/>
      <c r="EH193" s="98"/>
      <c r="EI193" s="1"/>
      <c r="EJ193" s="1"/>
      <c r="EK193" s="98"/>
      <c r="EL193" s="1"/>
    </row>
    <row r="194" spans="1:142">
      <c r="A194" s="32">
        <f t="shared" si="92"/>
        <v>20751</v>
      </c>
      <c r="B194" s="3" t="str">
        <f t="shared" si="93"/>
        <v>sv_statement//Statement//Export Statement&amp;PDFID=Anthony Ewell_20751&amp;SO=Y</v>
      </c>
      <c r="C194" s="5" t="str">
        <f t="shared" si="134"/>
        <v>Statement</v>
      </c>
      <c r="D194" s="5" t="str">
        <f t="shared" si="94"/>
        <v>Anthony Ewell_20751</v>
      </c>
      <c r="E194" s="5"/>
      <c r="F194" s="5">
        <v>20751</v>
      </c>
      <c r="G194" s="22" t="s">
        <v>495</v>
      </c>
      <c r="H194" s="5" t="s">
        <v>367</v>
      </c>
      <c r="I194" s="5" t="s">
        <v>404</v>
      </c>
      <c r="J194" s="5" t="s">
        <v>252</v>
      </c>
      <c r="K194" s="5" t="s">
        <v>333</v>
      </c>
      <c r="L194" s="31">
        <f t="shared" si="95"/>
        <v>29326</v>
      </c>
      <c r="M194" s="5" t="s">
        <v>334</v>
      </c>
      <c r="N194" s="22" t="s">
        <v>155</v>
      </c>
      <c r="O194" s="100">
        <v>38261</v>
      </c>
      <c r="P194" s="146">
        <f>VLOOKUP(I194,'Job Codes'!$B$2:$I$120,4,FALSE)</f>
        <v>26500</v>
      </c>
      <c r="Q194" s="146">
        <f>VLOOKUP(I194,'Job Codes'!$B$2:$I$120,5,FALSE)</f>
        <v>34450</v>
      </c>
      <c r="R194" s="146">
        <f>VLOOKUP(I194,'Job Codes'!$B$2:$I$120,6,FALSE)</f>
        <v>41340</v>
      </c>
      <c r="S194" s="22" t="s">
        <v>171</v>
      </c>
      <c r="T194" s="146">
        <v>35693</v>
      </c>
      <c r="U194" s="8">
        <f>VLOOKUP(S194,Data!$H$22:$I$25,2,FALSE)*T194</f>
        <v>35693</v>
      </c>
      <c r="V194" s="180">
        <f t="shared" si="96"/>
        <v>1.0360812772133527</v>
      </c>
      <c r="W194" s="180">
        <f t="shared" si="97"/>
        <v>0</v>
      </c>
      <c r="X194" s="22" t="str">
        <f t="shared" si="98"/>
        <v>No</v>
      </c>
      <c r="Y194" s="180">
        <f t="shared" si="99"/>
        <v>0</v>
      </c>
      <c r="Z194" s="146">
        <f t="shared" si="100"/>
        <v>0</v>
      </c>
      <c r="AA194" s="146">
        <f t="shared" si="101"/>
        <v>0</v>
      </c>
      <c r="AB194" s="72"/>
      <c r="AC194" s="146">
        <f>AB194/VLOOKUP(S194,Data!$H$22:$I$25,2,FALSE)</f>
        <v>0</v>
      </c>
      <c r="AD194" s="22" t="s">
        <v>157</v>
      </c>
      <c r="AE194" s="146">
        <f>VLOOKUP(S194,Data!$H$22:$J$25,3,FALSE)*T194</f>
        <v>1070.79</v>
      </c>
      <c r="AF194" s="8">
        <f>VLOOKUP(S194,Data!$H$22:$I$25,2,FALSE)*AE194</f>
        <v>1070.79</v>
      </c>
      <c r="AG194" s="8" t="s">
        <v>178</v>
      </c>
      <c r="AH194" s="23">
        <v>2.5000000000000001E-2</v>
      </c>
      <c r="AI194" s="72"/>
      <c r="AJ194" s="159">
        <f t="shared" si="102"/>
        <v>2.5000000000000001E-2</v>
      </c>
      <c r="AK194" s="168">
        <f t="shared" si="135"/>
        <v>892.32500000000005</v>
      </c>
      <c r="AL194" s="160">
        <f t="shared" si="136"/>
        <v>892.32500000000005</v>
      </c>
      <c r="AM194" s="168">
        <f t="shared" si="103"/>
        <v>36585.324999999997</v>
      </c>
      <c r="AN194" s="160">
        <f t="shared" si="104"/>
        <v>36585.324999999997</v>
      </c>
      <c r="AO194" s="160" t="str">
        <f t="shared" si="137"/>
        <v>No</v>
      </c>
      <c r="AP194" s="146">
        <f>IF(AQ194=0,0,AQ194/VLOOKUP(S194,Data!$H$22:$I$25,2,FALSE))</f>
        <v>0</v>
      </c>
      <c r="AQ194" s="183">
        <f t="shared" si="105"/>
        <v>0</v>
      </c>
      <c r="AR194" s="165">
        <f t="shared" si="106"/>
        <v>892.32500000000005</v>
      </c>
      <c r="AS194" s="183">
        <f t="shared" si="107"/>
        <v>892.32500000000005</v>
      </c>
      <c r="AT194" s="250">
        <f t="shared" si="108"/>
        <v>2.5000000000000001E-2</v>
      </c>
      <c r="AU194" s="146">
        <f t="shared" si="109"/>
        <v>36585.324999999997</v>
      </c>
      <c r="AV194" s="8">
        <f t="shared" si="110"/>
        <v>36585.324999999997</v>
      </c>
      <c r="AW194" s="8" t="str">
        <f t="shared" si="111"/>
        <v/>
      </c>
      <c r="AX194" s="180">
        <f t="shared" si="112"/>
        <v>1.0619833091436863</v>
      </c>
      <c r="AY194" s="146">
        <f t="shared" si="113"/>
        <v>0</v>
      </c>
      <c r="AZ194" s="146">
        <f t="shared" si="114"/>
        <v>0</v>
      </c>
      <c r="BA194" s="22" t="s">
        <v>159</v>
      </c>
      <c r="BB194" s="149"/>
      <c r="BC194" s="149"/>
      <c r="BD194" s="144"/>
      <c r="BE194" s="146" t="str">
        <f t="shared" si="115"/>
        <v/>
      </c>
      <c r="BF194" s="8" t="str">
        <f t="shared" si="116"/>
        <v/>
      </c>
      <c r="BG194" s="8" t="str">
        <f>IF(LEN(BC194)&gt;0,VLOOKUP(BC194,'Job Codes'!B187:I305,7,FALSE),"")</f>
        <v/>
      </c>
      <c r="BH194" s="192" t="str">
        <f>IF(LEN(BC194)&gt;0,VLOOKUP(BC194,'Job Codes'!B187:I305,8,FALSE),"")</f>
        <v/>
      </c>
      <c r="BI194" s="192" t="str">
        <f>IF(LEN(BC194)&gt;0,VLOOKUP(BC194,'Job Codes'!$B$2:$J$120,9,FALSE),"")</f>
        <v/>
      </c>
      <c r="BJ194" s="146" t="str">
        <f>IF(LEN(BC194)&gt;0,VLOOKUP(BC194,'Job Codes'!$B$2:$I$120,4,FALSE),"")</f>
        <v/>
      </c>
      <c r="BK194" s="146" t="str">
        <f>IF(LEN(BC194)&gt;0,VLOOKUP(BC194,'Job Codes'!$B$2:$I$120,5,FALSE),"")</f>
        <v/>
      </c>
      <c r="BL194" s="146" t="str">
        <f>IF(LEN(BC194)&gt;0,VLOOKUP(BC194,'Job Codes'!$B$2:$I$120,6,FALSE),"")</f>
        <v/>
      </c>
      <c r="BM194" s="168">
        <f t="shared" si="117"/>
        <v>36585.324999999997</v>
      </c>
      <c r="BN194" s="160">
        <f t="shared" si="118"/>
        <v>36585.324999999997</v>
      </c>
      <c r="BO194" s="22" t="s">
        <v>157</v>
      </c>
      <c r="BP194" s="157">
        <f>VLOOKUP(I194,'Job Codes'!$B$2:$I$120,8,FALSE)</f>
        <v>0.05</v>
      </c>
      <c r="BQ194" s="25" t="str">
        <f>IF(O194&gt;Data!$H$33,"Yes","No")</f>
        <v>No</v>
      </c>
      <c r="BR194" s="191">
        <v>0.05</v>
      </c>
      <c r="BS194" s="150">
        <f t="shared" si="119"/>
        <v>1784.65</v>
      </c>
      <c r="BT194" s="25">
        <f t="shared" si="120"/>
        <v>1784.65</v>
      </c>
      <c r="BU194" s="161">
        <v>1</v>
      </c>
      <c r="BV194" s="168">
        <f t="shared" si="121"/>
        <v>1784.65</v>
      </c>
      <c r="BW194" s="160">
        <f t="shared" si="122"/>
        <v>1784.65</v>
      </c>
      <c r="BX194" s="149"/>
      <c r="BY194" s="32">
        <f t="shared" si="123"/>
        <v>0</v>
      </c>
      <c r="BZ194" s="22" t="s">
        <v>159</v>
      </c>
      <c r="CA194" s="231">
        <f>VLOOKUP(I194,'Job Codes'!$B$2:$J$120,9,FALSE)</f>
        <v>0</v>
      </c>
      <c r="CB194" s="253">
        <f t="shared" si="124"/>
        <v>0</v>
      </c>
      <c r="CC194" s="72"/>
      <c r="CD194" s="25" t="str">
        <f t="shared" si="125"/>
        <v>Meets</v>
      </c>
      <c r="CE194" s="27"/>
      <c r="CF194" s="27"/>
      <c r="CG194" s="27"/>
      <c r="CH194" s="27"/>
      <c r="CI194" s="27"/>
      <c r="CJ194" s="3">
        <v>29271</v>
      </c>
      <c r="CK194" s="3" t="s">
        <v>255</v>
      </c>
      <c r="CL194" s="3">
        <v>4569</v>
      </c>
      <c r="CM194" s="3" t="s">
        <v>161</v>
      </c>
      <c r="CN194" s="3">
        <v>4571</v>
      </c>
      <c r="CO194" s="3" t="s">
        <v>162</v>
      </c>
      <c r="CP194" s="3">
        <v>12345</v>
      </c>
      <c r="CQ194" s="3" t="s">
        <v>163</v>
      </c>
      <c r="CR194" s="246" t="s">
        <v>164</v>
      </c>
      <c r="CS194" s="5" t="s">
        <v>165</v>
      </c>
      <c r="CT194" s="246" t="s">
        <v>256</v>
      </c>
      <c r="CU194" s="247" t="s">
        <v>257</v>
      </c>
      <c r="CV194" s="3" t="str">
        <f t="shared" si="126"/>
        <v>67890;86672</v>
      </c>
      <c r="CW194" s="3" t="s">
        <v>168</v>
      </c>
      <c r="CX194" s="3" t="str">
        <f t="shared" si="127"/>
        <v>AB194;;BB194:BD194;;CC194</v>
      </c>
      <c r="CY194" s="5" t="str">
        <f t="shared" si="128"/>
        <v>Unlock</v>
      </c>
      <c r="CZ194" s="5" t="str">
        <f t="shared" si="129"/>
        <v>Lock</v>
      </c>
      <c r="DA194" s="5" t="str">
        <f t="shared" si="130"/>
        <v>Lock</v>
      </c>
      <c r="DB194" s="5" t="str">
        <f t="shared" si="131"/>
        <v>Lock</v>
      </c>
      <c r="DC194" s="5" t="str">
        <f t="shared" si="132"/>
        <v>Lock</v>
      </c>
      <c r="DD194" s="78">
        <f t="shared" si="133"/>
        <v>2</v>
      </c>
      <c r="DE194" s="2"/>
      <c r="DF194" s="2"/>
      <c r="DG194" s="2"/>
      <c r="DH194" s="2"/>
      <c r="DI194" s="2"/>
      <c r="DJ194" s="2"/>
      <c r="DK194" s="5"/>
      <c r="DL194" s="2"/>
      <c r="DM194" s="2"/>
      <c r="DN194" s="2"/>
      <c r="DO194" s="2"/>
      <c r="DP194" s="2"/>
      <c r="DQ194" s="2"/>
      <c r="DR194" s="2"/>
      <c r="DS194" s="2"/>
      <c r="DT194" s="2"/>
      <c r="DU194" s="2"/>
      <c r="DV194" s="2"/>
      <c r="DW194" s="2"/>
      <c r="DX194" s="2"/>
      <c r="DY194" s="2"/>
      <c r="DZ194" s="2"/>
      <c r="EA194" s="2"/>
      <c r="EB194" s="2"/>
      <c r="EC194" s="2"/>
      <c r="ED194" s="2"/>
      <c r="EE194" s="2"/>
      <c r="EF194" s="1"/>
      <c r="EG194" s="98"/>
      <c r="EH194" s="98"/>
      <c r="EI194" s="1"/>
      <c r="EJ194" s="1"/>
      <c r="EK194" s="98"/>
      <c r="EL194" s="1"/>
    </row>
    <row r="195" spans="1:142">
      <c r="A195" s="32">
        <f t="shared" si="92"/>
        <v>20753</v>
      </c>
      <c r="B195" s="3" t="str">
        <f t="shared" si="93"/>
        <v>sv_statement//Statement//Export Statement&amp;PDFID=Kristina Brenneman_20753&amp;SO=Y</v>
      </c>
      <c r="C195" s="5" t="str">
        <f t="shared" si="134"/>
        <v>Statement</v>
      </c>
      <c r="D195" s="5" t="str">
        <f t="shared" si="94"/>
        <v>Kristina Brenneman_20753</v>
      </c>
      <c r="E195" s="5"/>
      <c r="F195" s="5">
        <v>20753</v>
      </c>
      <c r="G195" s="22" t="s">
        <v>496</v>
      </c>
      <c r="H195" s="5" t="s">
        <v>367</v>
      </c>
      <c r="I195" s="5" t="s">
        <v>432</v>
      </c>
      <c r="J195" s="5" t="s">
        <v>220</v>
      </c>
      <c r="K195" s="5" t="s">
        <v>328</v>
      </c>
      <c r="L195" s="31">
        <f t="shared" si="95"/>
        <v>29271</v>
      </c>
      <c r="M195" s="5" t="s">
        <v>255</v>
      </c>
      <c r="N195" s="22" t="s">
        <v>155</v>
      </c>
      <c r="O195" s="100">
        <v>37653</v>
      </c>
      <c r="P195" s="146">
        <f>VLOOKUP(I195,'Job Codes'!$B$2:$I$120,4,FALSE)</f>
        <v>33000</v>
      </c>
      <c r="Q195" s="146">
        <f>VLOOKUP(I195,'Job Codes'!$B$2:$I$120,5,FALSE)</f>
        <v>42900</v>
      </c>
      <c r="R195" s="146">
        <f>VLOOKUP(I195,'Job Codes'!$B$2:$I$120,6,FALSE)</f>
        <v>51480</v>
      </c>
      <c r="S195" s="22" t="s">
        <v>171</v>
      </c>
      <c r="T195" s="146">
        <v>43181</v>
      </c>
      <c r="U195" s="8">
        <f>VLOOKUP(S195,Data!$H$22:$I$25,2,FALSE)*T195</f>
        <v>43181</v>
      </c>
      <c r="V195" s="180">
        <f t="shared" si="96"/>
        <v>1.0065501165501165</v>
      </c>
      <c r="W195" s="180">
        <f t="shared" si="97"/>
        <v>0</v>
      </c>
      <c r="X195" s="22" t="str">
        <f t="shared" si="98"/>
        <v>No</v>
      </c>
      <c r="Y195" s="180">
        <f t="shared" si="99"/>
        <v>0</v>
      </c>
      <c r="Z195" s="146">
        <f t="shared" si="100"/>
        <v>0</v>
      </c>
      <c r="AA195" s="146">
        <f t="shared" si="101"/>
        <v>0</v>
      </c>
      <c r="AB195" s="72"/>
      <c r="AC195" s="146">
        <f>AB195/VLOOKUP(S195,Data!$H$22:$I$25,2,FALSE)</f>
        <v>0</v>
      </c>
      <c r="AD195" s="22" t="s">
        <v>157</v>
      </c>
      <c r="AE195" s="146">
        <f>VLOOKUP(S195,Data!$H$22:$J$25,3,FALSE)*T195</f>
        <v>1295.43</v>
      </c>
      <c r="AF195" s="8">
        <f>VLOOKUP(S195,Data!$H$22:$I$25,2,FALSE)*AE195</f>
        <v>1295.43</v>
      </c>
      <c r="AG195" s="8" t="s">
        <v>172</v>
      </c>
      <c r="AH195" s="23">
        <v>0</v>
      </c>
      <c r="AI195" s="72"/>
      <c r="AJ195" s="159">
        <f t="shared" si="102"/>
        <v>0</v>
      </c>
      <c r="AK195" s="168">
        <f t="shared" si="135"/>
        <v>0</v>
      </c>
      <c r="AL195" s="160">
        <f t="shared" si="136"/>
        <v>0</v>
      </c>
      <c r="AM195" s="168">
        <f t="shared" si="103"/>
        <v>43181</v>
      </c>
      <c r="AN195" s="160">
        <f t="shared" si="104"/>
        <v>43181</v>
      </c>
      <c r="AO195" s="160" t="str">
        <f t="shared" si="137"/>
        <v>No</v>
      </c>
      <c r="AP195" s="146">
        <f>IF(AQ195=0,0,AQ195/VLOOKUP(S195,Data!$H$22:$I$25,2,FALSE))</f>
        <v>0</v>
      </c>
      <c r="AQ195" s="183">
        <f t="shared" si="105"/>
        <v>0</v>
      </c>
      <c r="AR195" s="165">
        <f t="shared" si="106"/>
        <v>0</v>
      </c>
      <c r="AS195" s="183">
        <f t="shared" si="107"/>
        <v>0</v>
      </c>
      <c r="AT195" s="250">
        <f t="shared" si="108"/>
        <v>0</v>
      </c>
      <c r="AU195" s="146">
        <f t="shared" si="109"/>
        <v>43181</v>
      </c>
      <c r="AV195" s="8">
        <f t="shared" si="110"/>
        <v>43181</v>
      </c>
      <c r="AW195" s="8" t="str">
        <f t="shared" si="111"/>
        <v/>
      </c>
      <c r="AX195" s="180">
        <f t="shared" si="112"/>
        <v>1.0065501165501165</v>
      </c>
      <c r="AY195" s="146">
        <f t="shared" si="113"/>
        <v>0</v>
      </c>
      <c r="AZ195" s="146">
        <f t="shared" si="114"/>
        <v>0</v>
      </c>
      <c r="BA195" s="22" t="s">
        <v>159</v>
      </c>
      <c r="BB195" s="149"/>
      <c r="BC195" s="149"/>
      <c r="BD195" s="144"/>
      <c r="BE195" s="146" t="str">
        <f t="shared" si="115"/>
        <v/>
      </c>
      <c r="BF195" s="8" t="str">
        <f t="shared" si="116"/>
        <v/>
      </c>
      <c r="BG195" s="8" t="str">
        <f>IF(LEN(BC195)&gt;0,VLOOKUP(BC195,'Job Codes'!B188:I306,7,FALSE),"")</f>
        <v/>
      </c>
      <c r="BH195" s="192" t="str">
        <f>IF(LEN(BC195)&gt;0,VLOOKUP(BC195,'Job Codes'!B188:I306,8,FALSE),"")</f>
        <v/>
      </c>
      <c r="BI195" s="192" t="str">
        <f>IF(LEN(BC195)&gt;0,VLOOKUP(BC195,'Job Codes'!$B$2:$J$120,9,FALSE),"")</f>
        <v/>
      </c>
      <c r="BJ195" s="146" t="str">
        <f>IF(LEN(BC195)&gt;0,VLOOKUP(BC195,'Job Codes'!$B$2:$I$120,4,FALSE),"")</f>
        <v/>
      </c>
      <c r="BK195" s="146" t="str">
        <f>IF(LEN(BC195)&gt;0,VLOOKUP(BC195,'Job Codes'!$B$2:$I$120,5,FALSE),"")</f>
        <v/>
      </c>
      <c r="BL195" s="146" t="str">
        <f>IF(LEN(BC195)&gt;0,VLOOKUP(BC195,'Job Codes'!$B$2:$I$120,6,FALSE),"")</f>
        <v/>
      </c>
      <c r="BM195" s="168">
        <f t="shared" si="117"/>
        <v>43181</v>
      </c>
      <c r="BN195" s="160">
        <f t="shared" si="118"/>
        <v>43181</v>
      </c>
      <c r="BO195" s="22" t="s">
        <v>157</v>
      </c>
      <c r="BP195" s="157">
        <f>VLOOKUP(I195,'Job Codes'!$B$2:$I$120,8,FALSE)</f>
        <v>0.1</v>
      </c>
      <c r="BQ195" s="25" t="str">
        <f>IF(O195&gt;Data!$H$33,"Yes","No")</f>
        <v>No</v>
      </c>
      <c r="BR195" s="191">
        <v>0.1</v>
      </c>
      <c r="BS195" s="150">
        <f t="shared" si="119"/>
        <v>4318.1000000000004</v>
      </c>
      <c r="BT195" s="25">
        <f t="shared" si="120"/>
        <v>4318.1000000000004</v>
      </c>
      <c r="BU195" s="161">
        <v>1</v>
      </c>
      <c r="BV195" s="168">
        <f t="shared" si="121"/>
        <v>4318.1000000000004</v>
      </c>
      <c r="BW195" s="160">
        <f t="shared" si="122"/>
        <v>4318.1000000000004</v>
      </c>
      <c r="BX195" s="149"/>
      <c r="BY195" s="32">
        <f t="shared" si="123"/>
        <v>0</v>
      </c>
      <c r="BZ195" s="22" t="s">
        <v>157</v>
      </c>
      <c r="CA195" s="231">
        <f>VLOOKUP(I195,'Job Codes'!$B$2:$J$120,9,FALSE)</f>
        <v>0.1</v>
      </c>
      <c r="CB195" s="253">
        <f t="shared" si="124"/>
        <v>4318.1000000000004</v>
      </c>
      <c r="CC195" s="72"/>
      <c r="CD195" s="25" t="str">
        <f t="shared" si="125"/>
        <v>Below</v>
      </c>
      <c r="CE195" s="27"/>
      <c r="CF195" s="27"/>
      <c r="CG195" s="27"/>
      <c r="CH195" s="27"/>
      <c r="CI195" s="27"/>
      <c r="CJ195" s="3"/>
      <c r="CK195" s="3"/>
      <c r="CL195" s="3"/>
      <c r="CM195" s="3"/>
      <c r="CN195" s="3">
        <v>4571</v>
      </c>
      <c r="CO195" s="3" t="s">
        <v>162</v>
      </c>
      <c r="CP195" s="3">
        <v>12345</v>
      </c>
      <c r="CQ195" s="3" t="s">
        <v>163</v>
      </c>
      <c r="CR195" s="246" t="s">
        <v>256</v>
      </c>
      <c r="CS195" s="247" t="s">
        <v>257</v>
      </c>
      <c r="CT195" s="246" t="s">
        <v>199</v>
      </c>
      <c r="CU195" s="247" t="s">
        <v>200</v>
      </c>
      <c r="CV195" s="3" t="str">
        <f t="shared" si="126"/>
        <v>86672;36523</v>
      </c>
      <c r="CW195" s="3" t="s">
        <v>168</v>
      </c>
      <c r="CX195" s="3" t="str">
        <f t="shared" si="127"/>
        <v>AB195;;BB195:BD195;;</v>
      </c>
      <c r="CY195" s="5" t="str">
        <f t="shared" si="128"/>
        <v>Unlock</v>
      </c>
      <c r="CZ195" s="5" t="str">
        <f t="shared" si="129"/>
        <v>Lock</v>
      </c>
      <c r="DA195" s="5" t="str">
        <f t="shared" si="130"/>
        <v>Lock</v>
      </c>
      <c r="DB195" s="5" t="str">
        <f t="shared" si="131"/>
        <v>Lock</v>
      </c>
      <c r="DC195" s="5" t="str">
        <f t="shared" si="132"/>
        <v>Lock</v>
      </c>
      <c r="DD195" s="78">
        <f t="shared" si="133"/>
        <v>4</v>
      </c>
      <c r="DE195" s="2"/>
      <c r="DF195" s="2"/>
      <c r="DG195" s="2"/>
      <c r="DH195" s="2"/>
      <c r="DI195" s="2"/>
      <c r="DJ195" s="2"/>
      <c r="DK195" s="5"/>
      <c r="DL195" s="2"/>
      <c r="DM195" s="2"/>
      <c r="DN195" s="2"/>
      <c r="DO195" s="2"/>
      <c r="DP195" s="2"/>
      <c r="DQ195" s="2"/>
      <c r="DR195" s="2"/>
      <c r="DS195" s="2"/>
      <c r="DT195" s="2"/>
      <c r="DU195" s="2"/>
      <c r="DV195" s="2"/>
      <c r="DW195" s="2"/>
      <c r="DX195" s="2"/>
      <c r="DY195" s="2"/>
      <c r="DZ195" s="2"/>
      <c r="EA195" s="2"/>
      <c r="EB195" s="2"/>
      <c r="EC195" s="2"/>
      <c r="ED195" s="2"/>
      <c r="EE195" s="2"/>
      <c r="EF195" s="1"/>
      <c r="EG195" s="98"/>
      <c r="EH195" s="98"/>
      <c r="EI195" s="1"/>
      <c r="EJ195" s="1"/>
      <c r="EK195" s="98"/>
      <c r="EL195" s="1"/>
    </row>
    <row r="196" spans="1:142">
      <c r="A196" s="32">
        <f t="shared" si="92"/>
        <v>20762</v>
      </c>
      <c r="B196" s="3" t="str">
        <f t="shared" si="93"/>
        <v>sv_statement//Statement//Export Statement&amp;PDFID=Carolyn Rockett_20762&amp;SO=Y</v>
      </c>
      <c r="C196" s="5" t="str">
        <f t="shared" si="134"/>
        <v>Statement</v>
      </c>
      <c r="D196" s="5" t="str">
        <f t="shared" si="94"/>
        <v>Carolyn Rockett_20762</v>
      </c>
      <c r="E196" s="5"/>
      <c r="F196" s="5">
        <v>20762</v>
      </c>
      <c r="G196" s="22" t="s">
        <v>497</v>
      </c>
      <c r="H196" s="5" t="s">
        <v>214</v>
      </c>
      <c r="I196" s="5" t="s">
        <v>498</v>
      </c>
      <c r="J196" s="5" t="s">
        <v>208</v>
      </c>
      <c r="K196" s="5" t="s">
        <v>211</v>
      </c>
      <c r="L196" s="31">
        <f t="shared" si="95"/>
        <v>11498</v>
      </c>
      <c r="M196" s="5" t="s">
        <v>197</v>
      </c>
      <c r="N196" s="22" t="s">
        <v>155</v>
      </c>
      <c r="O196" s="100">
        <v>37257</v>
      </c>
      <c r="P196" s="146">
        <f>VLOOKUP(I196,'Job Codes'!$B$2:$I$120,4,FALSE)</f>
        <v>23000</v>
      </c>
      <c r="Q196" s="146">
        <f>VLOOKUP(I196,'Job Codes'!$B$2:$I$120,5,FALSE)</f>
        <v>29900</v>
      </c>
      <c r="R196" s="146">
        <f>VLOOKUP(I196,'Job Codes'!$B$2:$I$120,6,FALSE)</f>
        <v>35880</v>
      </c>
      <c r="S196" s="22" t="s">
        <v>171</v>
      </c>
      <c r="T196" s="146">
        <v>40768</v>
      </c>
      <c r="U196" s="8">
        <f>VLOOKUP(S196,Data!$H$22:$I$25,2,FALSE)*T196</f>
        <v>40768</v>
      </c>
      <c r="V196" s="180">
        <f t="shared" si="96"/>
        <v>1.3634782608695653</v>
      </c>
      <c r="W196" s="180">
        <f t="shared" si="97"/>
        <v>0</v>
      </c>
      <c r="X196" s="22" t="str">
        <f t="shared" si="98"/>
        <v>No</v>
      </c>
      <c r="Y196" s="180">
        <f t="shared" si="99"/>
        <v>0</v>
      </c>
      <c r="Z196" s="146">
        <f t="shared" si="100"/>
        <v>0</v>
      </c>
      <c r="AA196" s="146">
        <f t="shared" si="101"/>
        <v>0</v>
      </c>
      <c r="AB196" s="72"/>
      <c r="AC196" s="146">
        <f>AB196/VLOOKUP(S196,Data!$H$22:$I$25,2,FALSE)</f>
        <v>0</v>
      </c>
      <c r="AD196" s="22" t="s">
        <v>157</v>
      </c>
      <c r="AE196" s="146">
        <f>VLOOKUP(S196,Data!$H$22:$J$25,3,FALSE)*T196</f>
        <v>1223.04</v>
      </c>
      <c r="AF196" s="8">
        <f>VLOOKUP(S196,Data!$H$22:$I$25,2,FALSE)*AE196</f>
        <v>1223.04</v>
      </c>
      <c r="AG196" s="8" t="s">
        <v>178</v>
      </c>
      <c r="AH196" s="23">
        <v>2.5000000000000001E-2</v>
      </c>
      <c r="AI196" s="72"/>
      <c r="AJ196" s="159">
        <f t="shared" si="102"/>
        <v>2.5000000000000001E-2</v>
      </c>
      <c r="AK196" s="168">
        <f t="shared" si="135"/>
        <v>1019.2</v>
      </c>
      <c r="AL196" s="160">
        <f t="shared" si="136"/>
        <v>1019.2</v>
      </c>
      <c r="AM196" s="168">
        <f t="shared" si="103"/>
        <v>41787.199999999997</v>
      </c>
      <c r="AN196" s="160">
        <f t="shared" si="104"/>
        <v>41787.199999999997</v>
      </c>
      <c r="AO196" s="160" t="str">
        <f t="shared" si="137"/>
        <v>Yes by USD 5,907</v>
      </c>
      <c r="AP196" s="146">
        <f>IF(AQ196=0,0,AQ196/VLOOKUP(S196,Data!$H$22:$I$25,2,FALSE))</f>
        <v>1019.2</v>
      </c>
      <c r="AQ196" s="183">
        <f t="shared" si="105"/>
        <v>1019.2</v>
      </c>
      <c r="AR196" s="165">
        <f t="shared" si="106"/>
        <v>0</v>
      </c>
      <c r="AS196" s="183">
        <f t="shared" si="107"/>
        <v>0</v>
      </c>
      <c r="AT196" s="250">
        <f t="shared" si="108"/>
        <v>0</v>
      </c>
      <c r="AU196" s="146">
        <f t="shared" si="109"/>
        <v>40768</v>
      </c>
      <c r="AV196" s="8">
        <f t="shared" si="110"/>
        <v>40768</v>
      </c>
      <c r="AW196" s="8" t="str">
        <f t="shared" si="111"/>
        <v>Employee to receive full proposed merit increase as a lump sum</v>
      </c>
      <c r="AX196" s="180">
        <f t="shared" si="112"/>
        <v>1.3634782608695653</v>
      </c>
      <c r="AY196" s="146">
        <f t="shared" si="113"/>
        <v>0</v>
      </c>
      <c r="AZ196" s="146">
        <f t="shared" si="114"/>
        <v>0</v>
      </c>
      <c r="BA196" s="22" t="s">
        <v>159</v>
      </c>
      <c r="BB196" s="149"/>
      <c r="BC196" s="149"/>
      <c r="BD196" s="144"/>
      <c r="BE196" s="146" t="str">
        <f t="shared" si="115"/>
        <v/>
      </c>
      <c r="BF196" s="8" t="str">
        <f t="shared" si="116"/>
        <v/>
      </c>
      <c r="BG196" s="8" t="str">
        <f>IF(LEN(BC196)&gt;0,VLOOKUP(BC196,'Job Codes'!B189:I307,7,FALSE),"")</f>
        <v/>
      </c>
      <c r="BH196" s="192" t="str">
        <f>IF(LEN(BC196)&gt;0,VLOOKUP(BC196,'Job Codes'!B189:I307,8,FALSE),"")</f>
        <v/>
      </c>
      <c r="BI196" s="192" t="str">
        <f>IF(LEN(BC196)&gt;0,VLOOKUP(BC196,'Job Codes'!$B$2:$J$120,9,FALSE),"")</f>
        <v/>
      </c>
      <c r="BJ196" s="146" t="str">
        <f>IF(LEN(BC196)&gt;0,VLOOKUP(BC196,'Job Codes'!$B$2:$I$120,4,FALSE),"")</f>
        <v/>
      </c>
      <c r="BK196" s="146" t="str">
        <f>IF(LEN(BC196)&gt;0,VLOOKUP(BC196,'Job Codes'!$B$2:$I$120,5,FALSE),"")</f>
        <v/>
      </c>
      <c r="BL196" s="146" t="str">
        <f>IF(LEN(BC196)&gt;0,VLOOKUP(BC196,'Job Codes'!$B$2:$I$120,6,FALSE),"")</f>
        <v/>
      </c>
      <c r="BM196" s="168">
        <f t="shared" si="117"/>
        <v>40768</v>
      </c>
      <c r="BN196" s="160">
        <f t="shared" si="118"/>
        <v>40768</v>
      </c>
      <c r="BO196" s="22" t="s">
        <v>159</v>
      </c>
      <c r="BP196" s="157">
        <f>VLOOKUP(I196,'Job Codes'!$B$2:$I$120,8,FALSE)</f>
        <v>0</v>
      </c>
      <c r="BQ196" s="25" t="str">
        <f>IF(O196&gt;Data!$H$33,"Yes","No")</f>
        <v>No</v>
      </c>
      <c r="BR196" s="191">
        <v>0</v>
      </c>
      <c r="BS196" s="150">
        <f t="shared" si="119"/>
        <v>0</v>
      </c>
      <c r="BT196" s="25">
        <f t="shared" si="120"/>
        <v>0</v>
      </c>
      <c r="BU196" s="161">
        <v>1</v>
      </c>
      <c r="BV196" s="168">
        <f t="shared" si="121"/>
        <v>0</v>
      </c>
      <c r="BW196" s="160">
        <f t="shared" si="122"/>
        <v>0</v>
      </c>
      <c r="BX196" s="149"/>
      <c r="BY196" s="32">
        <f t="shared" si="123"/>
        <v>0</v>
      </c>
      <c r="BZ196" s="22" t="s">
        <v>159</v>
      </c>
      <c r="CA196" s="231">
        <f>VLOOKUP(I196,'Job Codes'!$B$2:$J$120,9,FALSE)</f>
        <v>0</v>
      </c>
      <c r="CB196" s="253">
        <f t="shared" si="124"/>
        <v>0</v>
      </c>
      <c r="CC196" s="72"/>
      <c r="CD196" s="25" t="str">
        <f t="shared" si="125"/>
        <v>Meets</v>
      </c>
      <c r="CE196" s="27"/>
      <c r="CF196" s="27"/>
      <c r="CG196" s="27"/>
      <c r="CH196" s="27"/>
      <c r="CI196" s="27"/>
      <c r="CJ196" s="3">
        <v>20714</v>
      </c>
      <c r="CK196" s="3" t="s">
        <v>198</v>
      </c>
      <c r="CL196" s="3">
        <v>4569</v>
      </c>
      <c r="CM196" s="3" t="s">
        <v>161</v>
      </c>
      <c r="CN196" s="3">
        <v>4571</v>
      </c>
      <c r="CO196" s="3" t="s">
        <v>162</v>
      </c>
      <c r="CP196" s="3">
        <v>12345</v>
      </c>
      <c r="CQ196" s="3" t="s">
        <v>163</v>
      </c>
      <c r="CR196" s="246" t="s">
        <v>166</v>
      </c>
      <c r="CS196" s="247" t="s">
        <v>167</v>
      </c>
      <c r="CT196" s="246" t="s">
        <v>199</v>
      </c>
      <c r="CU196" s="247" t="s">
        <v>200</v>
      </c>
      <c r="CV196" s="3" t="str">
        <f t="shared" si="126"/>
        <v>99485;36523</v>
      </c>
      <c r="CW196" s="3" t="s">
        <v>168</v>
      </c>
      <c r="CX196" s="3" t="str">
        <f t="shared" si="127"/>
        <v>AB196;;BB196:BD196;BU196;BX196</v>
      </c>
      <c r="CY196" s="5" t="str">
        <f t="shared" si="128"/>
        <v>Unlock</v>
      </c>
      <c r="CZ196" s="5" t="str">
        <f t="shared" si="129"/>
        <v>Lock</v>
      </c>
      <c r="DA196" s="5" t="str">
        <f t="shared" si="130"/>
        <v>Lock</v>
      </c>
      <c r="DB196" s="5" t="str">
        <f t="shared" si="131"/>
        <v>Lock</v>
      </c>
      <c r="DC196" s="5" t="str">
        <f t="shared" si="132"/>
        <v>Lock</v>
      </c>
      <c r="DD196" s="78">
        <f t="shared" si="133"/>
        <v>2</v>
      </c>
      <c r="DE196" s="2"/>
      <c r="DF196" s="2"/>
      <c r="DG196" s="2"/>
      <c r="DH196" s="2"/>
      <c r="DI196" s="2"/>
      <c r="DJ196" s="2"/>
      <c r="DK196" s="5"/>
      <c r="DL196" s="2"/>
      <c r="DM196" s="2"/>
      <c r="DN196" s="2"/>
      <c r="DO196" s="2"/>
      <c r="DP196" s="2"/>
      <c r="DQ196" s="2"/>
      <c r="DR196" s="2"/>
      <c r="DS196" s="2"/>
      <c r="DT196" s="2"/>
      <c r="DU196" s="2"/>
      <c r="DV196" s="2"/>
      <c r="DW196" s="2"/>
      <c r="DX196" s="2"/>
      <c r="DY196" s="2"/>
      <c r="DZ196" s="2"/>
      <c r="EA196" s="2"/>
      <c r="EB196" s="2"/>
      <c r="EC196" s="2"/>
      <c r="ED196" s="2"/>
      <c r="EE196" s="2"/>
      <c r="EF196" s="1"/>
      <c r="EG196" s="98"/>
      <c r="EH196" s="98"/>
      <c r="EI196" s="1"/>
      <c r="EJ196" s="1"/>
      <c r="EK196" s="98"/>
      <c r="EL196" s="1"/>
    </row>
    <row r="197" spans="1:142">
      <c r="A197" s="32">
        <f t="shared" si="92"/>
        <v>20770</v>
      </c>
      <c r="B197" s="3" t="str">
        <f t="shared" si="93"/>
        <v>sv_statement//Statement//Export Statement&amp;PDFID=Christopher Hedge_20770&amp;SO=Y</v>
      </c>
      <c r="C197" s="5" t="str">
        <f t="shared" si="134"/>
        <v>Statement</v>
      </c>
      <c r="D197" s="5" t="str">
        <f t="shared" si="94"/>
        <v>Christopher Hedge_20770</v>
      </c>
      <c r="E197" s="5"/>
      <c r="F197" s="5">
        <v>20770</v>
      </c>
      <c r="G197" s="22" t="s">
        <v>499</v>
      </c>
      <c r="H197" s="5" t="s">
        <v>367</v>
      </c>
      <c r="I197" s="5" t="s">
        <v>392</v>
      </c>
      <c r="J197" s="5" t="s">
        <v>252</v>
      </c>
      <c r="K197" s="5" t="s">
        <v>333</v>
      </c>
      <c r="L197" s="31">
        <f t="shared" si="95"/>
        <v>29326</v>
      </c>
      <c r="M197" s="5" t="s">
        <v>334</v>
      </c>
      <c r="N197" s="22" t="s">
        <v>155</v>
      </c>
      <c r="O197" s="100">
        <v>38390</v>
      </c>
      <c r="P197" s="146">
        <f>VLOOKUP(I197,'Job Codes'!$B$2:$I$120,4,FALSE)</f>
        <v>23000</v>
      </c>
      <c r="Q197" s="146">
        <f>VLOOKUP(I197,'Job Codes'!$B$2:$I$120,5,FALSE)</f>
        <v>29900</v>
      </c>
      <c r="R197" s="146">
        <f>VLOOKUP(I197,'Job Codes'!$B$2:$I$120,6,FALSE)</f>
        <v>35880</v>
      </c>
      <c r="S197" s="22" t="s">
        <v>171</v>
      </c>
      <c r="T197" s="146">
        <v>40789</v>
      </c>
      <c r="U197" s="8">
        <f>VLOOKUP(S197,Data!$H$22:$I$25,2,FALSE)*T197</f>
        <v>40789</v>
      </c>
      <c r="V197" s="180">
        <f t="shared" si="96"/>
        <v>1.3641806020066889</v>
      </c>
      <c r="W197" s="180">
        <f t="shared" si="97"/>
        <v>0</v>
      </c>
      <c r="X197" s="22" t="str">
        <f t="shared" si="98"/>
        <v>No</v>
      </c>
      <c r="Y197" s="180">
        <f t="shared" si="99"/>
        <v>0</v>
      </c>
      <c r="Z197" s="146">
        <f t="shared" si="100"/>
        <v>0</v>
      </c>
      <c r="AA197" s="146">
        <f t="shared" si="101"/>
        <v>0</v>
      </c>
      <c r="AB197" s="72"/>
      <c r="AC197" s="146">
        <f>AB197/VLOOKUP(S197,Data!$H$22:$I$25,2,FALSE)</f>
        <v>0</v>
      </c>
      <c r="AD197" s="22" t="s">
        <v>157</v>
      </c>
      <c r="AE197" s="146">
        <f>VLOOKUP(S197,Data!$H$22:$J$25,3,FALSE)*T197</f>
        <v>1223.6699999999998</v>
      </c>
      <c r="AF197" s="8">
        <f>VLOOKUP(S197,Data!$H$22:$I$25,2,FALSE)*AE197</f>
        <v>1223.6699999999998</v>
      </c>
      <c r="AG197" s="8" t="s">
        <v>178</v>
      </c>
      <c r="AH197" s="23">
        <v>2.5000000000000001E-2</v>
      </c>
      <c r="AI197" s="72"/>
      <c r="AJ197" s="159">
        <f t="shared" si="102"/>
        <v>2.5000000000000001E-2</v>
      </c>
      <c r="AK197" s="168">
        <f t="shared" si="135"/>
        <v>1019.725</v>
      </c>
      <c r="AL197" s="160">
        <f t="shared" si="136"/>
        <v>1019.725</v>
      </c>
      <c r="AM197" s="168">
        <f t="shared" si="103"/>
        <v>41808.724999999999</v>
      </c>
      <c r="AN197" s="160">
        <f t="shared" si="104"/>
        <v>41808.724999999999</v>
      </c>
      <c r="AO197" s="160" t="str">
        <f t="shared" si="137"/>
        <v>Yes by USD 5,929</v>
      </c>
      <c r="AP197" s="146">
        <f>IF(AQ197=0,0,AQ197/VLOOKUP(S197,Data!$H$22:$I$25,2,FALSE))</f>
        <v>1019.725</v>
      </c>
      <c r="AQ197" s="183">
        <f t="shared" si="105"/>
        <v>1019.725</v>
      </c>
      <c r="AR197" s="165">
        <f t="shared" si="106"/>
        <v>0</v>
      </c>
      <c r="AS197" s="183">
        <f t="shared" si="107"/>
        <v>0</v>
      </c>
      <c r="AT197" s="250">
        <f t="shared" si="108"/>
        <v>0</v>
      </c>
      <c r="AU197" s="146">
        <f t="shared" si="109"/>
        <v>40789</v>
      </c>
      <c r="AV197" s="8">
        <f t="shared" si="110"/>
        <v>40789</v>
      </c>
      <c r="AW197" s="8" t="str">
        <f t="shared" si="111"/>
        <v>Employee to receive full proposed merit increase as a lump sum</v>
      </c>
      <c r="AX197" s="180">
        <f t="shared" si="112"/>
        <v>1.3641806020066889</v>
      </c>
      <c r="AY197" s="146">
        <f t="shared" si="113"/>
        <v>0</v>
      </c>
      <c r="AZ197" s="146">
        <f t="shared" si="114"/>
        <v>0</v>
      </c>
      <c r="BA197" s="22" t="s">
        <v>159</v>
      </c>
      <c r="BB197" s="149"/>
      <c r="BC197" s="149"/>
      <c r="BD197" s="144"/>
      <c r="BE197" s="146" t="str">
        <f t="shared" si="115"/>
        <v/>
      </c>
      <c r="BF197" s="8" t="str">
        <f t="shared" si="116"/>
        <v/>
      </c>
      <c r="BG197" s="8" t="str">
        <f>IF(LEN(BC197)&gt;0,VLOOKUP(BC197,'Job Codes'!B190:I308,7,FALSE),"")</f>
        <v/>
      </c>
      <c r="BH197" s="192" t="str">
        <f>IF(LEN(BC197)&gt;0,VLOOKUP(BC197,'Job Codes'!B190:I308,8,FALSE),"")</f>
        <v/>
      </c>
      <c r="BI197" s="192" t="str">
        <f>IF(LEN(BC197)&gt;0,VLOOKUP(BC197,'Job Codes'!$B$2:$J$120,9,FALSE),"")</f>
        <v/>
      </c>
      <c r="BJ197" s="146" t="str">
        <f>IF(LEN(BC197)&gt;0,VLOOKUP(BC197,'Job Codes'!$B$2:$I$120,4,FALSE),"")</f>
        <v/>
      </c>
      <c r="BK197" s="146" t="str">
        <f>IF(LEN(BC197)&gt;0,VLOOKUP(BC197,'Job Codes'!$B$2:$I$120,5,FALSE),"")</f>
        <v/>
      </c>
      <c r="BL197" s="146" t="str">
        <f>IF(LEN(BC197)&gt;0,VLOOKUP(BC197,'Job Codes'!$B$2:$I$120,6,FALSE),"")</f>
        <v/>
      </c>
      <c r="BM197" s="168">
        <f t="shared" si="117"/>
        <v>40789</v>
      </c>
      <c r="BN197" s="160">
        <f t="shared" si="118"/>
        <v>40789</v>
      </c>
      <c r="BO197" s="22" t="s">
        <v>159</v>
      </c>
      <c r="BP197" s="157">
        <f>VLOOKUP(I197,'Job Codes'!$B$2:$I$120,8,FALSE)</f>
        <v>0</v>
      </c>
      <c r="BQ197" s="25" t="str">
        <f>IF(O197&gt;Data!$H$33,"Yes","No")</f>
        <v>No</v>
      </c>
      <c r="BR197" s="191">
        <v>0</v>
      </c>
      <c r="BS197" s="150">
        <f t="shared" si="119"/>
        <v>0</v>
      </c>
      <c r="BT197" s="25">
        <f t="shared" si="120"/>
        <v>0</v>
      </c>
      <c r="BU197" s="161">
        <v>1</v>
      </c>
      <c r="BV197" s="168">
        <f t="shared" si="121"/>
        <v>0</v>
      </c>
      <c r="BW197" s="160">
        <f t="shared" si="122"/>
        <v>0</v>
      </c>
      <c r="BX197" s="149"/>
      <c r="BY197" s="32">
        <f t="shared" si="123"/>
        <v>0</v>
      </c>
      <c r="BZ197" s="22" t="s">
        <v>159</v>
      </c>
      <c r="CA197" s="231">
        <f>VLOOKUP(I197,'Job Codes'!$B$2:$J$120,9,FALSE)</f>
        <v>0</v>
      </c>
      <c r="CB197" s="253">
        <f t="shared" si="124"/>
        <v>0</v>
      </c>
      <c r="CC197" s="72"/>
      <c r="CD197" s="25" t="str">
        <f t="shared" si="125"/>
        <v>Meets</v>
      </c>
      <c r="CE197" s="27"/>
      <c r="CF197" s="27"/>
      <c r="CG197" s="27"/>
      <c r="CH197" s="27"/>
      <c r="CI197" s="27"/>
      <c r="CJ197" s="3">
        <v>29271</v>
      </c>
      <c r="CK197" s="3" t="s">
        <v>255</v>
      </c>
      <c r="CL197" s="3">
        <v>4569</v>
      </c>
      <c r="CM197" s="3" t="s">
        <v>161</v>
      </c>
      <c r="CN197" s="3">
        <v>4571</v>
      </c>
      <c r="CO197" s="3" t="s">
        <v>162</v>
      </c>
      <c r="CP197" s="3">
        <v>12345</v>
      </c>
      <c r="CQ197" s="3" t="s">
        <v>163</v>
      </c>
      <c r="CR197" s="246" t="s">
        <v>164</v>
      </c>
      <c r="CS197" s="5" t="s">
        <v>165</v>
      </c>
      <c r="CT197" s="246" t="s">
        <v>256</v>
      </c>
      <c r="CU197" s="247" t="s">
        <v>257</v>
      </c>
      <c r="CV197" s="3" t="str">
        <f t="shared" si="126"/>
        <v>67890;86672</v>
      </c>
      <c r="CW197" s="3" t="s">
        <v>168</v>
      </c>
      <c r="CX197" s="3" t="str">
        <f t="shared" si="127"/>
        <v>AB197;;BB197:BD197;BU197;BX197</v>
      </c>
      <c r="CY197" s="5" t="str">
        <f t="shared" si="128"/>
        <v>Unlock</v>
      </c>
      <c r="CZ197" s="5" t="str">
        <f t="shared" si="129"/>
        <v>Lock</v>
      </c>
      <c r="DA197" s="5" t="str">
        <f t="shared" si="130"/>
        <v>Lock</v>
      </c>
      <c r="DB197" s="5" t="str">
        <f t="shared" si="131"/>
        <v>Lock</v>
      </c>
      <c r="DC197" s="5" t="str">
        <f t="shared" si="132"/>
        <v>Lock</v>
      </c>
      <c r="DD197" s="78">
        <f t="shared" si="133"/>
        <v>2</v>
      </c>
      <c r="DE197" s="2"/>
      <c r="DF197" s="2"/>
      <c r="DG197" s="2"/>
      <c r="DH197" s="2"/>
      <c r="DI197" s="2"/>
      <c r="DJ197" s="2"/>
      <c r="DK197" s="5"/>
      <c r="DL197" s="2"/>
      <c r="DM197" s="2"/>
      <c r="DN197" s="2"/>
      <c r="DO197" s="2"/>
      <c r="DP197" s="2"/>
      <c r="DQ197" s="2"/>
      <c r="DR197" s="2"/>
      <c r="DS197" s="2"/>
      <c r="DT197" s="2"/>
      <c r="DU197" s="2"/>
      <c r="DV197" s="2"/>
      <c r="DW197" s="2"/>
      <c r="DX197" s="2"/>
      <c r="DY197" s="2"/>
      <c r="DZ197" s="2"/>
      <c r="EA197" s="2"/>
      <c r="EB197" s="2"/>
      <c r="EC197" s="2"/>
      <c r="ED197" s="2"/>
      <c r="EE197" s="2"/>
      <c r="EF197" s="1"/>
      <c r="EG197" s="98"/>
      <c r="EH197" s="98"/>
      <c r="EI197" s="1"/>
      <c r="EJ197" s="1"/>
      <c r="EK197" s="98"/>
      <c r="EL197" s="1"/>
    </row>
    <row r="198" spans="1:142">
      <c r="A198" s="32">
        <f t="shared" si="92"/>
        <v>22676</v>
      </c>
      <c r="B198" s="3" t="str">
        <f t="shared" si="93"/>
        <v>sv_statement//Statement//Export Statement&amp;PDFID=Billy Zack_22676&amp;SO=Y</v>
      </c>
      <c r="C198" s="5" t="str">
        <f t="shared" si="134"/>
        <v>Statement</v>
      </c>
      <c r="D198" s="5" t="str">
        <f t="shared" si="94"/>
        <v>Billy Zack_22676</v>
      </c>
      <c r="E198" s="5"/>
      <c r="F198" s="5">
        <v>22676</v>
      </c>
      <c r="G198" s="22" t="s">
        <v>500</v>
      </c>
      <c r="H198" s="5" t="s">
        <v>296</v>
      </c>
      <c r="I198" s="5" t="s">
        <v>501</v>
      </c>
      <c r="J198" s="5" t="s">
        <v>152</v>
      </c>
      <c r="K198" s="5" t="s">
        <v>480</v>
      </c>
      <c r="L198" s="31">
        <f t="shared" si="95"/>
        <v>11277</v>
      </c>
      <c r="M198" s="5" t="s">
        <v>203</v>
      </c>
      <c r="N198" s="22" t="s">
        <v>155</v>
      </c>
      <c r="O198" s="100">
        <v>40231</v>
      </c>
      <c r="P198" s="146">
        <f>VLOOKUP(I198,'Job Codes'!$B$2:$I$120,4,FALSE)</f>
        <v>26500</v>
      </c>
      <c r="Q198" s="146">
        <f>VLOOKUP(I198,'Job Codes'!$B$2:$I$120,5,FALSE)</f>
        <v>34450</v>
      </c>
      <c r="R198" s="146">
        <f>VLOOKUP(I198,'Job Codes'!$B$2:$I$120,6,FALSE)</f>
        <v>41340</v>
      </c>
      <c r="S198" s="22" t="s">
        <v>171</v>
      </c>
      <c r="T198" s="146">
        <v>28600</v>
      </c>
      <c r="U198" s="8">
        <f>VLOOKUP(S198,Data!$H$22:$I$25,2,FALSE)*T198</f>
        <v>28600</v>
      </c>
      <c r="V198" s="180">
        <f t="shared" si="96"/>
        <v>0.83018867924528306</v>
      </c>
      <c r="W198" s="180">
        <f t="shared" si="97"/>
        <v>0.20454545454545456</v>
      </c>
      <c r="X198" s="22" t="str">
        <f t="shared" si="98"/>
        <v>Yes</v>
      </c>
      <c r="Y198" s="180">
        <f t="shared" si="99"/>
        <v>0.02</v>
      </c>
      <c r="Z198" s="146">
        <f t="shared" si="100"/>
        <v>572</v>
      </c>
      <c r="AA198" s="146">
        <f t="shared" si="101"/>
        <v>572</v>
      </c>
      <c r="AB198" s="72"/>
      <c r="AC198" s="146">
        <f>AB198/VLOOKUP(S198,Data!$H$22:$I$25,2,FALSE)</f>
        <v>0</v>
      </c>
      <c r="AD198" s="22" t="s">
        <v>157</v>
      </c>
      <c r="AE198" s="146">
        <f>VLOOKUP(S198,Data!$H$22:$J$25,3,FALSE)*T198</f>
        <v>858</v>
      </c>
      <c r="AF198" s="8">
        <f>VLOOKUP(S198,Data!$H$22:$I$25,2,FALSE)*AE198</f>
        <v>858</v>
      </c>
      <c r="AG198" s="8" t="s">
        <v>158</v>
      </c>
      <c r="AH198" s="23">
        <v>0.05</v>
      </c>
      <c r="AI198" s="72"/>
      <c r="AJ198" s="159">
        <f t="shared" si="102"/>
        <v>0.05</v>
      </c>
      <c r="AK198" s="168">
        <f t="shared" si="135"/>
        <v>1430</v>
      </c>
      <c r="AL198" s="160">
        <f t="shared" si="136"/>
        <v>1430</v>
      </c>
      <c r="AM198" s="168">
        <f t="shared" si="103"/>
        <v>30030</v>
      </c>
      <c r="AN198" s="160">
        <f t="shared" si="104"/>
        <v>30030</v>
      </c>
      <c r="AO198" s="160" t="str">
        <f t="shared" si="137"/>
        <v>No</v>
      </c>
      <c r="AP198" s="146">
        <f>IF(AQ198=0,0,AQ198/VLOOKUP(S198,Data!$H$22:$I$25,2,FALSE))</f>
        <v>0</v>
      </c>
      <c r="AQ198" s="183">
        <f t="shared" si="105"/>
        <v>0</v>
      </c>
      <c r="AR198" s="165">
        <f t="shared" si="106"/>
        <v>1430</v>
      </c>
      <c r="AS198" s="183">
        <f t="shared" si="107"/>
        <v>1430</v>
      </c>
      <c r="AT198" s="250">
        <f t="shared" si="108"/>
        <v>0.05</v>
      </c>
      <c r="AU198" s="146">
        <f t="shared" si="109"/>
        <v>30030</v>
      </c>
      <c r="AV198" s="8">
        <f t="shared" si="110"/>
        <v>30030</v>
      </c>
      <c r="AW198" s="8" t="str">
        <f t="shared" si="111"/>
        <v/>
      </c>
      <c r="AX198" s="180">
        <f t="shared" si="112"/>
        <v>0.8716981132075472</v>
      </c>
      <c r="AY198" s="146">
        <f t="shared" si="113"/>
        <v>0</v>
      </c>
      <c r="AZ198" s="146">
        <f t="shared" si="114"/>
        <v>0</v>
      </c>
      <c r="BA198" s="22" t="s">
        <v>159</v>
      </c>
      <c r="BB198" s="149"/>
      <c r="BC198" s="149"/>
      <c r="BD198" s="144"/>
      <c r="BE198" s="146" t="str">
        <f t="shared" si="115"/>
        <v/>
      </c>
      <c r="BF198" s="8" t="str">
        <f t="shared" si="116"/>
        <v/>
      </c>
      <c r="BG198" s="8" t="str">
        <f>IF(LEN(BC198)&gt;0,VLOOKUP(BC198,'Job Codes'!B191:I309,7,FALSE),"")</f>
        <v/>
      </c>
      <c r="BH198" s="192" t="str">
        <f>IF(LEN(BC198)&gt;0,VLOOKUP(BC198,'Job Codes'!B191:I309,8,FALSE),"")</f>
        <v/>
      </c>
      <c r="BI198" s="192" t="str">
        <f>IF(LEN(BC198)&gt;0,VLOOKUP(BC198,'Job Codes'!$B$2:$J$120,9,FALSE),"")</f>
        <v/>
      </c>
      <c r="BJ198" s="146" t="str">
        <f>IF(LEN(BC198)&gt;0,VLOOKUP(BC198,'Job Codes'!$B$2:$I$120,4,FALSE),"")</f>
        <v/>
      </c>
      <c r="BK198" s="146" t="str">
        <f>IF(LEN(BC198)&gt;0,VLOOKUP(BC198,'Job Codes'!$B$2:$I$120,5,FALSE),"")</f>
        <v/>
      </c>
      <c r="BL198" s="146" t="str">
        <f>IF(LEN(BC198)&gt;0,VLOOKUP(BC198,'Job Codes'!$B$2:$I$120,6,FALSE),"")</f>
        <v/>
      </c>
      <c r="BM198" s="168">
        <f t="shared" si="117"/>
        <v>30030</v>
      </c>
      <c r="BN198" s="160">
        <f t="shared" si="118"/>
        <v>30030</v>
      </c>
      <c r="BO198" s="22" t="s">
        <v>157</v>
      </c>
      <c r="BP198" s="157">
        <f>VLOOKUP(I198,'Job Codes'!$B$2:$I$120,8,FALSE)</f>
        <v>0.05</v>
      </c>
      <c r="BQ198" s="25" t="str">
        <f>IF(O198&gt;Data!$H$33,"Yes","No")</f>
        <v>No</v>
      </c>
      <c r="BR198" s="191">
        <v>0.05</v>
      </c>
      <c r="BS198" s="150">
        <f t="shared" si="119"/>
        <v>1430</v>
      </c>
      <c r="BT198" s="25">
        <f t="shared" si="120"/>
        <v>1430</v>
      </c>
      <c r="BU198" s="161">
        <v>1</v>
      </c>
      <c r="BV198" s="168">
        <f t="shared" si="121"/>
        <v>1430</v>
      </c>
      <c r="BW198" s="160">
        <f t="shared" si="122"/>
        <v>1430</v>
      </c>
      <c r="BX198" s="149"/>
      <c r="BY198" s="32">
        <f t="shared" si="123"/>
        <v>0</v>
      </c>
      <c r="BZ198" s="22" t="s">
        <v>159</v>
      </c>
      <c r="CA198" s="231">
        <f>VLOOKUP(I198,'Job Codes'!$B$2:$J$120,9,FALSE)</f>
        <v>0</v>
      </c>
      <c r="CB198" s="253">
        <f t="shared" si="124"/>
        <v>0</v>
      </c>
      <c r="CC198" s="72"/>
      <c r="CD198" s="25" t="str">
        <f t="shared" si="125"/>
        <v>Exceeds</v>
      </c>
      <c r="CE198" s="27" t="s">
        <v>160</v>
      </c>
      <c r="CF198" s="27"/>
      <c r="CG198" s="27"/>
      <c r="CH198" s="27"/>
      <c r="CI198" s="27"/>
      <c r="CJ198" s="3">
        <v>11308</v>
      </c>
      <c r="CK198" s="3" t="s">
        <v>154</v>
      </c>
      <c r="CL198" s="3">
        <v>4569</v>
      </c>
      <c r="CM198" s="3" t="s">
        <v>161</v>
      </c>
      <c r="CN198" s="3">
        <v>4571</v>
      </c>
      <c r="CO198" s="3" t="s">
        <v>162</v>
      </c>
      <c r="CP198" s="3">
        <v>12345</v>
      </c>
      <c r="CQ198" s="3" t="s">
        <v>163</v>
      </c>
      <c r="CR198" s="246" t="s">
        <v>179</v>
      </c>
      <c r="CS198" s="247" t="s">
        <v>180</v>
      </c>
      <c r="CT198" s="246" t="s">
        <v>166</v>
      </c>
      <c r="CU198" s="247" t="s">
        <v>167</v>
      </c>
      <c r="CV198" s="3" t="str">
        <f t="shared" si="126"/>
        <v>90876;99485</v>
      </c>
      <c r="CW198" s="3" t="s">
        <v>168</v>
      </c>
      <c r="CX198" s="3" t="str">
        <f t="shared" si="127"/>
        <v>;;BB198:BD198;;CC198</v>
      </c>
      <c r="CY198" s="5" t="str">
        <f t="shared" si="128"/>
        <v>Lock</v>
      </c>
      <c r="CZ198" s="5" t="str">
        <f t="shared" si="129"/>
        <v>Unlock</v>
      </c>
      <c r="DA198" s="5" t="str">
        <f t="shared" si="130"/>
        <v>Lock</v>
      </c>
      <c r="DB198" s="5" t="str">
        <f t="shared" si="131"/>
        <v>Lock</v>
      </c>
      <c r="DC198" s="5" t="str">
        <f t="shared" si="132"/>
        <v>Lock</v>
      </c>
      <c r="DD198" s="78">
        <f t="shared" si="133"/>
        <v>2</v>
      </c>
      <c r="DE198" s="2"/>
      <c r="DF198" s="2"/>
      <c r="DG198" s="2"/>
      <c r="DH198" s="2"/>
      <c r="DI198" s="2"/>
      <c r="DJ198" s="2"/>
      <c r="DK198" s="5"/>
      <c r="DL198" s="2"/>
      <c r="DM198" s="2"/>
      <c r="DN198" s="2"/>
      <c r="DO198" s="2"/>
      <c r="DP198" s="2"/>
      <c r="DQ198" s="2"/>
      <c r="DR198" s="2"/>
      <c r="DS198" s="2"/>
      <c r="DT198" s="2"/>
      <c r="DU198" s="2"/>
      <c r="DV198" s="2"/>
      <c r="DW198" s="2"/>
      <c r="DX198" s="2"/>
      <c r="DY198" s="2"/>
      <c r="DZ198" s="2"/>
      <c r="EA198" s="2"/>
      <c r="EB198" s="2"/>
      <c r="EC198" s="2"/>
      <c r="ED198" s="2"/>
      <c r="EE198" s="2"/>
      <c r="EF198" s="1"/>
      <c r="EG198" s="98"/>
      <c r="EH198" s="98"/>
      <c r="EI198" s="1"/>
      <c r="EJ198" s="1"/>
      <c r="EK198" s="98"/>
      <c r="EL198" s="1"/>
    </row>
    <row r="199" spans="1:142">
      <c r="A199" s="32">
        <f t="shared" si="92"/>
        <v>26892</v>
      </c>
      <c r="B199" s="3" t="str">
        <f t="shared" si="93"/>
        <v>sv_statement//Statement//Export Statement&amp;PDFID=Jill Anthony_26892&amp;SO=Y</v>
      </c>
      <c r="C199" s="5" t="str">
        <f t="shared" si="134"/>
        <v>Statement</v>
      </c>
      <c r="D199" s="5" t="str">
        <f t="shared" si="94"/>
        <v>Jill Anthony_26892</v>
      </c>
      <c r="E199" s="5"/>
      <c r="F199" s="5">
        <v>26892</v>
      </c>
      <c r="G199" s="22" t="s">
        <v>502</v>
      </c>
      <c r="H199" s="5" t="s">
        <v>214</v>
      </c>
      <c r="I199" s="5" t="s">
        <v>219</v>
      </c>
      <c r="J199" s="5" t="s">
        <v>208</v>
      </c>
      <c r="K199" s="5" t="s">
        <v>211</v>
      </c>
      <c r="L199" s="31">
        <f t="shared" si="95"/>
        <v>11498</v>
      </c>
      <c r="M199" s="5" t="s">
        <v>197</v>
      </c>
      <c r="N199" s="22" t="s">
        <v>155</v>
      </c>
      <c r="O199" s="100">
        <v>39204</v>
      </c>
      <c r="P199" s="146">
        <f>VLOOKUP(I199,'Job Codes'!$B$2:$I$120,4,FALSE)</f>
        <v>29000</v>
      </c>
      <c r="Q199" s="146">
        <f>VLOOKUP(I199,'Job Codes'!$B$2:$I$120,5,FALSE)</f>
        <v>37700</v>
      </c>
      <c r="R199" s="146">
        <f>VLOOKUP(I199,'Job Codes'!$B$2:$I$120,6,FALSE)</f>
        <v>45240</v>
      </c>
      <c r="S199" s="22" t="s">
        <v>171</v>
      </c>
      <c r="T199" s="146">
        <v>47000</v>
      </c>
      <c r="U199" s="8">
        <f>VLOOKUP(S199,Data!$H$22:$I$25,2,FALSE)*T199</f>
        <v>47000</v>
      </c>
      <c r="V199" s="180">
        <f t="shared" si="96"/>
        <v>1.2466843501326259</v>
      </c>
      <c r="W199" s="180">
        <f t="shared" si="97"/>
        <v>0</v>
      </c>
      <c r="X199" s="22" t="str">
        <f t="shared" si="98"/>
        <v>No</v>
      </c>
      <c r="Y199" s="180">
        <f t="shared" si="99"/>
        <v>0</v>
      </c>
      <c r="Z199" s="146">
        <f t="shared" si="100"/>
        <v>0</v>
      </c>
      <c r="AA199" s="146">
        <f t="shared" si="101"/>
        <v>0</v>
      </c>
      <c r="AB199" s="72"/>
      <c r="AC199" s="146">
        <f>AB199/VLOOKUP(S199,Data!$H$22:$I$25,2,FALSE)</f>
        <v>0</v>
      </c>
      <c r="AD199" s="22" t="s">
        <v>157</v>
      </c>
      <c r="AE199" s="146">
        <f>VLOOKUP(S199,Data!$H$22:$J$25,3,FALSE)*T199</f>
        <v>1410</v>
      </c>
      <c r="AF199" s="8">
        <f>VLOOKUP(S199,Data!$H$22:$I$25,2,FALSE)*AE199</f>
        <v>1410</v>
      </c>
      <c r="AG199" s="8" t="s">
        <v>172</v>
      </c>
      <c r="AH199" s="23">
        <v>0</v>
      </c>
      <c r="AI199" s="72"/>
      <c r="AJ199" s="159">
        <f t="shared" si="102"/>
        <v>0</v>
      </c>
      <c r="AK199" s="168">
        <f t="shared" si="135"/>
        <v>0</v>
      </c>
      <c r="AL199" s="160">
        <f t="shared" si="136"/>
        <v>0</v>
      </c>
      <c r="AM199" s="168">
        <f t="shared" si="103"/>
        <v>47000</v>
      </c>
      <c r="AN199" s="160">
        <f t="shared" si="104"/>
        <v>47000</v>
      </c>
      <c r="AO199" s="160" t="str">
        <f t="shared" si="137"/>
        <v>Yes by USD 1,760</v>
      </c>
      <c r="AP199" s="146">
        <f>IF(AQ199=0,0,AQ199/VLOOKUP(S199,Data!$H$22:$I$25,2,FALSE))</f>
        <v>0</v>
      </c>
      <c r="AQ199" s="183">
        <f t="shared" si="105"/>
        <v>0</v>
      </c>
      <c r="AR199" s="165">
        <f t="shared" si="106"/>
        <v>0</v>
      </c>
      <c r="AS199" s="183">
        <f t="shared" si="107"/>
        <v>0</v>
      </c>
      <c r="AT199" s="250">
        <f t="shared" si="108"/>
        <v>0</v>
      </c>
      <c r="AU199" s="146">
        <f t="shared" si="109"/>
        <v>47000</v>
      </c>
      <c r="AV199" s="8">
        <f t="shared" si="110"/>
        <v>47000</v>
      </c>
      <c r="AW199" s="8" t="str">
        <f t="shared" si="111"/>
        <v/>
      </c>
      <c r="AX199" s="180">
        <f t="shared" si="112"/>
        <v>1.2466843501326259</v>
      </c>
      <c r="AY199" s="146">
        <f t="shared" si="113"/>
        <v>0</v>
      </c>
      <c r="AZ199" s="146">
        <f t="shared" si="114"/>
        <v>0</v>
      </c>
      <c r="BA199" s="22" t="s">
        <v>159</v>
      </c>
      <c r="BB199" s="149"/>
      <c r="BC199" s="149"/>
      <c r="BD199" s="144"/>
      <c r="BE199" s="146" t="str">
        <f t="shared" si="115"/>
        <v/>
      </c>
      <c r="BF199" s="8" t="str">
        <f t="shared" si="116"/>
        <v/>
      </c>
      <c r="BG199" s="8" t="str">
        <f>IF(LEN(BC199)&gt;0,VLOOKUP(BC199,'Job Codes'!B192:I310,7,FALSE),"")</f>
        <v/>
      </c>
      <c r="BH199" s="192" t="str">
        <f>IF(LEN(BC199)&gt;0,VLOOKUP(BC199,'Job Codes'!B192:I310,8,FALSE),"")</f>
        <v/>
      </c>
      <c r="BI199" s="192" t="str">
        <f>IF(LEN(BC199)&gt;0,VLOOKUP(BC199,'Job Codes'!$B$2:$J$120,9,FALSE),"")</f>
        <v/>
      </c>
      <c r="BJ199" s="146" t="str">
        <f>IF(LEN(BC199)&gt;0,VLOOKUP(BC199,'Job Codes'!$B$2:$I$120,4,FALSE),"")</f>
        <v/>
      </c>
      <c r="BK199" s="146" t="str">
        <f>IF(LEN(BC199)&gt;0,VLOOKUP(BC199,'Job Codes'!$B$2:$I$120,5,FALSE),"")</f>
        <v/>
      </c>
      <c r="BL199" s="146" t="str">
        <f>IF(LEN(BC199)&gt;0,VLOOKUP(BC199,'Job Codes'!$B$2:$I$120,6,FALSE),"")</f>
        <v/>
      </c>
      <c r="BM199" s="168">
        <f t="shared" si="117"/>
        <v>47000</v>
      </c>
      <c r="BN199" s="160">
        <f t="shared" si="118"/>
        <v>47000</v>
      </c>
      <c r="BO199" s="22" t="s">
        <v>157</v>
      </c>
      <c r="BP199" s="157">
        <f>VLOOKUP(I199,'Job Codes'!$B$2:$I$120,8,FALSE)</f>
        <v>0.1</v>
      </c>
      <c r="BQ199" s="25" t="str">
        <f>IF(O199&gt;Data!$H$33,"Yes","No")</f>
        <v>No</v>
      </c>
      <c r="BR199" s="191">
        <v>0.1</v>
      </c>
      <c r="BS199" s="150">
        <f t="shared" si="119"/>
        <v>4700</v>
      </c>
      <c r="BT199" s="25">
        <f t="shared" si="120"/>
        <v>4700</v>
      </c>
      <c r="BU199" s="161">
        <v>1</v>
      </c>
      <c r="BV199" s="168">
        <f t="shared" si="121"/>
        <v>4700</v>
      </c>
      <c r="BW199" s="160">
        <f t="shared" si="122"/>
        <v>4700</v>
      </c>
      <c r="BX199" s="149"/>
      <c r="BY199" s="32">
        <f t="shared" si="123"/>
        <v>0</v>
      </c>
      <c r="BZ199" s="22" t="s">
        <v>157</v>
      </c>
      <c r="CA199" s="231">
        <f>VLOOKUP(I199,'Job Codes'!$B$2:$J$120,9,FALSE)</f>
        <v>0.05</v>
      </c>
      <c r="CB199" s="253">
        <f t="shared" si="124"/>
        <v>2350</v>
      </c>
      <c r="CC199" s="72"/>
      <c r="CD199" s="25" t="str">
        <f t="shared" si="125"/>
        <v>Below</v>
      </c>
      <c r="CE199" s="27"/>
      <c r="CF199" s="27"/>
      <c r="CG199" s="27"/>
      <c r="CH199" s="27"/>
      <c r="CI199" s="27"/>
      <c r="CJ199" s="3">
        <v>20714</v>
      </c>
      <c r="CK199" s="3" t="s">
        <v>198</v>
      </c>
      <c r="CL199" s="3">
        <v>4569</v>
      </c>
      <c r="CM199" s="3" t="s">
        <v>161</v>
      </c>
      <c r="CN199" s="3">
        <v>4571</v>
      </c>
      <c r="CO199" s="3" t="s">
        <v>162</v>
      </c>
      <c r="CP199" s="3">
        <v>12345</v>
      </c>
      <c r="CQ199" s="3" t="s">
        <v>163</v>
      </c>
      <c r="CR199" s="246" t="s">
        <v>166</v>
      </c>
      <c r="CS199" s="247" t="s">
        <v>167</v>
      </c>
      <c r="CT199" s="246" t="s">
        <v>199</v>
      </c>
      <c r="CU199" s="247" t="s">
        <v>200</v>
      </c>
      <c r="CV199" s="3" t="str">
        <f t="shared" si="126"/>
        <v>99485;36523</v>
      </c>
      <c r="CW199" s="3" t="s">
        <v>168</v>
      </c>
      <c r="CX199" s="3" t="str">
        <f t="shared" si="127"/>
        <v>AB199;;BB199:BD199;;</v>
      </c>
      <c r="CY199" s="5" t="str">
        <f t="shared" si="128"/>
        <v>Unlock</v>
      </c>
      <c r="CZ199" s="5" t="str">
        <f t="shared" si="129"/>
        <v>Lock</v>
      </c>
      <c r="DA199" s="5" t="str">
        <f t="shared" si="130"/>
        <v>Lock</v>
      </c>
      <c r="DB199" s="5" t="str">
        <f t="shared" si="131"/>
        <v>Lock</v>
      </c>
      <c r="DC199" s="5" t="str">
        <f t="shared" si="132"/>
        <v>Lock</v>
      </c>
      <c r="DD199" s="78">
        <f t="shared" si="133"/>
        <v>2</v>
      </c>
      <c r="DE199" s="2"/>
      <c r="DF199" s="2"/>
      <c r="DG199" s="2"/>
      <c r="DH199" s="2"/>
      <c r="DI199" s="2"/>
      <c r="DJ199" s="2"/>
      <c r="DK199" s="5"/>
      <c r="DL199" s="2"/>
      <c r="DM199" s="2"/>
      <c r="DN199" s="2"/>
      <c r="DO199" s="2"/>
      <c r="DP199" s="2"/>
      <c r="DQ199" s="2"/>
      <c r="DR199" s="2"/>
      <c r="DS199" s="2"/>
      <c r="DT199" s="2"/>
      <c r="DU199" s="2"/>
      <c r="DV199" s="2"/>
      <c r="DW199" s="2"/>
      <c r="DX199" s="2"/>
      <c r="DY199" s="2"/>
      <c r="DZ199" s="2"/>
      <c r="EA199" s="2"/>
      <c r="EB199" s="2"/>
      <c r="EC199" s="2"/>
      <c r="ED199" s="2"/>
      <c r="EE199" s="2"/>
      <c r="EF199" s="1"/>
      <c r="EG199" s="98"/>
      <c r="EH199" s="98"/>
      <c r="EI199" s="1"/>
      <c r="EJ199" s="1"/>
      <c r="EK199" s="98"/>
      <c r="EL199" s="1"/>
    </row>
    <row r="200" spans="1:142">
      <c r="A200" s="32">
        <f t="shared" si="92"/>
        <v>27726</v>
      </c>
      <c r="B200" s="3" t="str">
        <f t="shared" si="93"/>
        <v>sv_statement//Statement//Export Statement&amp;PDFID=Melissa Guyer_27726&amp;SO=Y</v>
      </c>
      <c r="C200" s="5" t="str">
        <f t="shared" si="134"/>
        <v>Statement</v>
      </c>
      <c r="D200" s="5" t="str">
        <f t="shared" si="94"/>
        <v>Melissa Guyer_27726</v>
      </c>
      <c r="E200" s="5"/>
      <c r="F200" s="5">
        <v>27726</v>
      </c>
      <c r="G200" s="22" t="s">
        <v>503</v>
      </c>
      <c r="H200" s="5" t="s">
        <v>341</v>
      </c>
      <c r="I200" s="5" t="s">
        <v>504</v>
      </c>
      <c r="J200" s="5" t="s">
        <v>152</v>
      </c>
      <c r="K200" s="5" t="s">
        <v>480</v>
      </c>
      <c r="L200" s="31">
        <f t="shared" si="95"/>
        <v>11277</v>
      </c>
      <c r="M200" s="5" t="s">
        <v>203</v>
      </c>
      <c r="N200" s="22" t="s">
        <v>155</v>
      </c>
      <c r="O200" s="100">
        <v>40218</v>
      </c>
      <c r="P200" s="146">
        <f>VLOOKUP(I200,'Job Codes'!$B$2:$I$120,4,FALSE)</f>
        <v>26500</v>
      </c>
      <c r="Q200" s="146">
        <f>VLOOKUP(I200,'Job Codes'!$B$2:$I$120,5,FALSE)</f>
        <v>34450</v>
      </c>
      <c r="R200" s="146">
        <f>VLOOKUP(I200,'Job Codes'!$B$2:$I$120,6,FALSE)</f>
        <v>41340</v>
      </c>
      <c r="S200" s="22" t="s">
        <v>171</v>
      </c>
      <c r="T200" s="146">
        <v>31200</v>
      </c>
      <c r="U200" s="8">
        <f>VLOOKUP(S200,Data!$H$22:$I$25,2,FALSE)*T200</f>
        <v>31200</v>
      </c>
      <c r="V200" s="180">
        <f t="shared" si="96"/>
        <v>0.90566037735849059</v>
      </c>
      <c r="W200" s="180">
        <f t="shared" si="97"/>
        <v>0.10416666666666667</v>
      </c>
      <c r="X200" s="22" t="str">
        <f t="shared" si="98"/>
        <v>Yes</v>
      </c>
      <c r="Y200" s="180">
        <f t="shared" si="99"/>
        <v>0.02</v>
      </c>
      <c r="Z200" s="146">
        <f t="shared" si="100"/>
        <v>624</v>
      </c>
      <c r="AA200" s="146">
        <f t="shared" si="101"/>
        <v>624</v>
      </c>
      <c r="AB200" s="72"/>
      <c r="AC200" s="146">
        <f>AB200/VLOOKUP(S200,Data!$H$22:$I$25,2,FALSE)</f>
        <v>0</v>
      </c>
      <c r="AD200" s="22" t="s">
        <v>157</v>
      </c>
      <c r="AE200" s="146">
        <f>VLOOKUP(S200,Data!$H$22:$J$25,3,FALSE)*T200</f>
        <v>936</v>
      </c>
      <c r="AF200" s="8">
        <f>VLOOKUP(S200,Data!$H$22:$I$25,2,FALSE)*AE200</f>
        <v>936</v>
      </c>
      <c r="AG200" s="8" t="s">
        <v>178</v>
      </c>
      <c r="AH200" s="23">
        <v>1.4999999999999999E-2</v>
      </c>
      <c r="AI200" s="72"/>
      <c r="AJ200" s="159">
        <f t="shared" si="102"/>
        <v>1.4999999999999999E-2</v>
      </c>
      <c r="AK200" s="168">
        <f t="shared" si="135"/>
        <v>468</v>
      </c>
      <c r="AL200" s="160">
        <f t="shared" si="136"/>
        <v>468</v>
      </c>
      <c r="AM200" s="168">
        <f t="shared" si="103"/>
        <v>31668</v>
      </c>
      <c r="AN200" s="160">
        <f t="shared" si="104"/>
        <v>31668</v>
      </c>
      <c r="AO200" s="160" t="str">
        <f t="shared" si="137"/>
        <v>No</v>
      </c>
      <c r="AP200" s="146">
        <f>IF(AQ200=0,0,AQ200/VLOOKUP(S200,Data!$H$22:$I$25,2,FALSE))</f>
        <v>0</v>
      </c>
      <c r="AQ200" s="183">
        <f t="shared" si="105"/>
        <v>0</v>
      </c>
      <c r="AR200" s="165">
        <f t="shared" si="106"/>
        <v>468</v>
      </c>
      <c r="AS200" s="183">
        <f t="shared" si="107"/>
        <v>468</v>
      </c>
      <c r="AT200" s="250">
        <f t="shared" si="108"/>
        <v>1.4999999999999999E-2</v>
      </c>
      <c r="AU200" s="146">
        <f t="shared" si="109"/>
        <v>31668</v>
      </c>
      <c r="AV200" s="8">
        <f t="shared" si="110"/>
        <v>31668</v>
      </c>
      <c r="AW200" s="8" t="str">
        <f t="shared" si="111"/>
        <v/>
      </c>
      <c r="AX200" s="180">
        <f t="shared" si="112"/>
        <v>0.91924528301886788</v>
      </c>
      <c r="AY200" s="146">
        <f t="shared" si="113"/>
        <v>0</v>
      </c>
      <c r="AZ200" s="146">
        <f t="shared" si="114"/>
        <v>0</v>
      </c>
      <c r="BA200" s="22" t="s">
        <v>159</v>
      </c>
      <c r="BB200" s="149"/>
      <c r="BC200" s="149"/>
      <c r="BD200" s="144"/>
      <c r="BE200" s="146" t="str">
        <f t="shared" si="115"/>
        <v/>
      </c>
      <c r="BF200" s="8" t="str">
        <f t="shared" si="116"/>
        <v/>
      </c>
      <c r="BG200" s="8" t="str">
        <f>IF(LEN(BC200)&gt;0,VLOOKUP(BC200,'Job Codes'!B193:I311,7,FALSE),"")</f>
        <v/>
      </c>
      <c r="BH200" s="192" t="str">
        <f>IF(LEN(BC200)&gt;0,VLOOKUP(BC200,'Job Codes'!B193:I311,8,FALSE),"")</f>
        <v/>
      </c>
      <c r="BI200" s="192" t="str">
        <f>IF(LEN(BC200)&gt;0,VLOOKUP(BC200,'Job Codes'!$B$2:$J$120,9,FALSE),"")</f>
        <v/>
      </c>
      <c r="BJ200" s="146" t="str">
        <f>IF(LEN(BC200)&gt;0,VLOOKUP(BC200,'Job Codes'!$B$2:$I$120,4,FALSE),"")</f>
        <v/>
      </c>
      <c r="BK200" s="146" t="str">
        <f>IF(LEN(BC200)&gt;0,VLOOKUP(BC200,'Job Codes'!$B$2:$I$120,5,FALSE),"")</f>
        <v/>
      </c>
      <c r="BL200" s="146" t="str">
        <f>IF(LEN(BC200)&gt;0,VLOOKUP(BC200,'Job Codes'!$B$2:$I$120,6,FALSE),"")</f>
        <v/>
      </c>
      <c r="BM200" s="168">
        <f t="shared" si="117"/>
        <v>31668</v>
      </c>
      <c r="BN200" s="160">
        <f t="shared" si="118"/>
        <v>31668</v>
      </c>
      <c r="BO200" s="22" t="s">
        <v>157</v>
      </c>
      <c r="BP200" s="157">
        <f>VLOOKUP(I200,'Job Codes'!$B$2:$I$120,8,FALSE)</f>
        <v>0.05</v>
      </c>
      <c r="BQ200" s="25" t="str">
        <f>IF(O200&gt;Data!$H$33,"Yes","No")</f>
        <v>No</v>
      </c>
      <c r="BR200" s="191">
        <v>0.05</v>
      </c>
      <c r="BS200" s="150">
        <f t="shared" si="119"/>
        <v>1560</v>
      </c>
      <c r="BT200" s="25">
        <f t="shared" si="120"/>
        <v>1560</v>
      </c>
      <c r="BU200" s="161">
        <v>1</v>
      </c>
      <c r="BV200" s="168">
        <f t="shared" si="121"/>
        <v>1560</v>
      </c>
      <c r="BW200" s="160">
        <f t="shared" si="122"/>
        <v>1560</v>
      </c>
      <c r="BX200" s="149"/>
      <c r="BY200" s="32">
        <f t="shared" si="123"/>
        <v>0</v>
      </c>
      <c r="BZ200" s="22" t="s">
        <v>159</v>
      </c>
      <c r="CA200" s="231">
        <f>VLOOKUP(I200,'Job Codes'!$B$2:$J$120,9,FALSE)</f>
        <v>0</v>
      </c>
      <c r="CB200" s="253">
        <f t="shared" si="124"/>
        <v>0</v>
      </c>
      <c r="CC200" s="72"/>
      <c r="CD200" s="25" t="str">
        <f t="shared" si="125"/>
        <v>Meets</v>
      </c>
      <c r="CE200" s="27" t="s">
        <v>160</v>
      </c>
      <c r="CF200" s="27"/>
      <c r="CG200" s="27"/>
      <c r="CH200" s="27"/>
      <c r="CI200" s="27"/>
      <c r="CJ200" s="3">
        <v>11308</v>
      </c>
      <c r="CK200" s="3" t="s">
        <v>154</v>
      </c>
      <c r="CL200" s="3">
        <v>4569</v>
      </c>
      <c r="CM200" s="3" t="s">
        <v>161</v>
      </c>
      <c r="CN200" s="3">
        <v>4571</v>
      </c>
      <c r="CO200" s="3" t="s">
        <v>162</v>
      </c>
      <c r="CP200" s="3">
        <v>12345</v>
      </c>
      <c r="CQ200" s="3" t="s">
        <v>163</v>
      </c>
      <c r="CR200" s="246" t="s">
        <v>179</v>
      </c>
      <c r="CS200" s="247" t="s">
        <v>180</v>
      </c>
      <c r="CT200" s="246" t="s">
        <v>166</v>
      </c>
      <c r="CU200" s="247" t="s">
        <v>167</v>
      </c>
      <c r="CV200" s="3" t="str">
        <f t="shared" si="126"/>
        <v>90876;99485</v>
      </c>
      <c r="CW200" s="3" t="s">
        <v>168</v>
      </c>
      <c r="CX200" s="3" t="str">
        <f t="shared" si="127"/>
        <v>;;BB200:BD200;;CC200</v>
      </c>
      <c r="CY200" s="5" t="str">
        <f t="shared" si="128"/>
        <v>Lock</v>
      </c>
      <c r="CZ200" s="5" t="str">
        <f t="shared" si="129"/>
        <v>Unlock</v>
      </c>
      <c r="DA200" s="5" t="str">
        <f t="shared" si="130"/>
        <v>Lock</v>
      </c>
      <c r="DB200" s="5" t="str">
        <f t="shared" si="131"/>
        <v>Lock</v>
      </c>
      <c r="DC200" s="5" t="str">
        <f t="shared" si="132"/>
        <v>Lock</v>
      </c>
      <c r="DD200" s="78">
        <f t="shared" si="133"/>
        <v>2</v>
      </c>
      <c r="DE200" s="2"/>
      <c r="DF200" s="2"/>
      <c r="DG200" s="2"/>
      <c r="DH200" s="2"/>
      <c r="DI200" s="2"/>
      <c r="DJ200" s="2"/>
      <c r="DK200" s="5"/>
      <c r="DL200" s="2"/>
      <c r="DM200" s="2"/>
      <c r="DN200" s="2"/>
      <c r="DO200" s="2"/>
      <c r="DP200" s="2"/>
      <c r="DQ200" s="2"/>
      <c r="DR200" s="2"/>
      <c r="DS200" s="2"/>
      <c r="DT200" s="2"/>
      <c r="DU200" s="2"/>
      <c r="DV200" s="2"/>
      <c r="DW200" s="2"/>
      <c r="DX200" s="2"/>
      <c r="DY200" s="2"/>
      <c r="DZ200" s="2"/>
      <c r="EA200" s="2"/>
      <c r="EB200" s="2"/>
      <c r="EC200" s="2"/>
      <c r="ED200" s="2"/>
      <c r="EE200" s="2"/>
      <c r="EF200" s="1"/>
      <c r="EG200" s="98"/>
      <c r="EH200" s="98"/>
      <c r="EI200" s="1"/>
      <c r="EJ200" s="1"/>
      <c r="EK200" s="98"/>
      <c r="EL200" s="1"/>
    </row>
    <row r="201" spans="1:142">
      <c r="A201" s="32">
        <f t="shared" ref="A201:A225" si="138">F201</f>
        <v>27824</v>
      </c>
      <c r="B201" s="3" t="str">
        <f t="shared" ref="B201:B225" si="139">IF(C201&lt;&gt;"","sv_statement//"&amp;C201&amp;"//Export Statement&amp;PDFID="&amp;D201&amp;"&amp;SO=Y","")</f>
        <v>sv_statement//Statement//Export Statement&amp;PDFID=Violet Speer_27824&amp;SO=Y</v>
      </c>
      <c r="C201" s="5" t="str">
        <f t="shared" si="134"/>
        <v>Statement</v>
      </c>
      <c r="D201" s="5" t="str">
        <f t="shared" ref="D201:D225" si="140">G201&amp;"_"&amp;F201</f>
        <v>Violet Speer_27824</v>
      </c>
      <c r="E201" s="5"/>
      <c r="F201" s="5">
        <v>27824</v>
      </c>
      <c r="G201" s="22" t="s">
        <v>505</v>
      </c>
      <c r="H201" s="5" t="s">
        <v>341</v>
      </c>
      <c r="I201" s="5" t="s">
        <v>342</v>
      </c>
      <c r="J201" s="5" t="s">
        <v>152</v>
      </c>
      <c r="K201" s="5" t="s">
        <v>480</v>
      </c>
      <c r="L201" s="31">
        <f t="shared" ref="L201:L225" si="141">IFERROR(INDEX($F$9:$F$496,MATCH(M201,$G$9:$G$496,0)),"")</f>
        <v>11277</v>
      </c>
      <c r="M201" s="5" t="s">
        <v>203</v>
      </c>
      <c r="N201" s="22" t="s">
        <v>155</v>
      </c>
      <c r="O201" s="100">
        <v>40224</v>
      </c>
      <c r="P201" s="146">
        <f>VLOOKUP(I201,'Job Codes'!$B$2:$I$120,4,FALSE)</f>
        <v>27000</v>
      </c>
      <c r="Q201" s="146">
        <f>VLOOKUP(I201,'Job Codes'!$B$2:$I$120,5,FALSE)</f>
        <v>35100</v>
      </c>
      <c r="R201" s="146">
        <f>VLOOKUP(I201,'Job Codes'!$B$2:$I$120,6,FALSE)</f>
        <v>42120</v>
      </c>
      <c r="S201" s="22" t="s">
        <v>171</v>
      </c>
      <c r="T201" s="146">
        <v>23400</v>
      </c>
      <c r="U201" s="8">
        <f>VLOOKUP(S201,Data!$H$22:$I$25,2,FALSE)*T201</f>
        <v>23400</v>
      </c>
      <c r="V201" s="180">
        <f t="shared" ref="V201:V225" si="142">IFERROR(U201/Q201,0)</f>
        <v>0.66666666666666663</v>
      </c>
      <c r="W201" s="180">
        <f t="shared" ref="W201:W225" si="143">IF((Q201-U201)/U201&lt;0,0%,(Q201-U201)/U201)</f>
        <v>0.5</v>
      </c>
      <c r="X201" s="22" t="str">
        <f t="shared" ref="X201:X225" si="144">IF(W201&gt;5%,"Yes","No")</f>
        <v>Yes</v>
      </c>
      <c r="Y201" s="180">
        <f t="shared" ref="Y201:Y225" si="145">IF(X201="Yes",2%,0)</f>
        <v>0.02</v>
      </c>
      <c r="Z201" s="146">
        <f t="shared" ref="Z201:Z225" si="146">IF(Y201=0,0,Y201*T201)</f>
        <v>468</v>
      </c>
      <c r="AA201" s="146">
        <f t="shared" ref="AA201:AA225" si="147">IF(Y201=0,0,Y201*U201)</f>
        <v>468</v>
      </c>
      <c r="AB201" s="72"/>
      <c r="AC201" s="146">
        <f>AB201/VLOOKUP(S201,Data!$H$22:$I$25,2,FALSE)</f>
        <v>0</v>
      </c>
      <c r="AD201" s="22" t="s">
        <v>157</v>
      </c>
      <c r="AE201" s="146">
        <f>VLOOKUP(S201,Data!$H$22:$J$25,3,FALSE)*T201</f>
        <v>702</v>
      </c>
      <c r="AF201" s="8">
        <f>VLOOKUP(S201,Data!$H$22:$I$25,2,FALSE)*AE201</f>
        <v>702</v>
      </c>
      <c r="AG201" s="8" t="s">
        <v>158</v>
      </c>
      <c r="AH201" s="23">
        <v>0.05</v>
      </c>
      <c r="AI201" s="72"/>
      <c r="AJ201" s="159">
        <f t="shared" ref="AJ201:AJ225" si="148">IFERROR(AL201/(U201+AB201),0)</f>
        <v>0.05</v>
      </c>
      <c r="AK201" s="168">
        <f t="shared" si="135"/>
        <v>1170</v>
      </c>
      <c r="AL201" s="160">
        <f t="shared" si="136"/>
        <v>1170</v>
      </c>
      <c r="AM201" s="168">
        <f t="shared" ref="AM201:AM225" si="149">T201+AC201+AK201</f>
        <v>24570</v>
      </c>
      <c r="AN201" s="160">
        <f t="shared" ref="AN201:AN225" si="150">U201+AB201+AL201</f>
        <v>24570</v>
      </c>
      <c r="AO201" s="160" t="str">
        <f t="shared" si="137"/>
        <v>No</v>
      </c>
      <c r="AP201" s="146">
        <f>IF(AQ201=0,0,AQ201/VLOOKUP(S201,Data!$H$22:$I$25,2,FALSE))</f>
        <v>0</v>
      </c>
      <c r="AQ201" s="183">
        <f t="shared" ref="AQ201:AQ225" si="151">IF(AN201&lt;R201,0,IF(R201-AN201&lt;0,IF(AN201-R201&gt;AL201,AL201,AN201-R201)))</f>
        <v>0</v>
      </c>
      <c r="AR201" s="165">
        <f t="shared" ref="AR201:AR225" si="152">IF(AK201-AP201&lt;0,0,AK201-AP201)</f>
        <v>1170</v>
      </c>
      <c r="AS201" s="183">
        <f t="shared" ref="AS201:AS225" si="153">IF(AL201-AQ201&lt;0,0,AL201-AQ201)</f>
        <v>1170</v>
      </c>
      <c r="AT201" s="250">
        <f t="shared" ref="AT201:AT225" si="154">IFERROR(AS201/(U201+AB201),0)</f>
        <v>0.05</v>
      </c>
      <c r="AU201" s="146">
        <f t="shared" ref="AU201:AU225" si="155">AR201+T201+AC201</f>
        <v>24570</v>
      </c>
      <c r="AV201" s="8">
        <f t="shared" ref="AV201:AV225" si="156">AS201+U201+AB201</f>
        <v>24570</v>
      </c>
      <c r="AW201" s="8" t="str">
        <f t="shared" ref="AW201:AW225" si="157">IF(AD201="No","Not Eligible for Merit",IF(AND(AH201&gt;0,AI201&gt;0),"Enter only % Increase OR $ Increase",IF(AND(AG201="Exceeds",OR(AJ201&lt;0.025,AJ201&gt;0.06)),"Not within guidelines",IF(AND(AG201="Meets",OR(AJ201&lt;0.01,AJ201&gt;0.025)),"Not within guidelines",IF(AND(AG201="Below",AJ201&lt;&gt;0),"Not within guidelines",IF(AND(AL201=AQ201,AQ201&gt;0),"Employee to receive full proposed merit increase as a lump sum",IF(AND(AQ201&gt;0,AQ201&lt;AL201),"Employee to receive part of proposed increase as a lump sum","")))))))</f>
        <v/>
      </c>
      <c r="AX201" s="180">
        <f t="shared" ref="AX201:AX225" si="158">IFERROR(AV201/Q201,0)</f>
        <v>0.7</v>
      </c>
      <c r="AY201" s="146">
        <f t="shared" ref="AY201:AY225" si="159">IF(OR(AND(AG201="Exceeds",OR(AJ201&lt;0.025,AJ201&gt;0.06)),(AND(AG201="Meets",OR(AJ201&lt;0.01,AJ201&gt;0.025))),(AND(AG201="Below",OR(AJ201&gt;0,AJ201&lt;0))),(AND(AH201&lt;&gt;"",AI201&lt;&gt;"")))=TRUE,1,0)</f>
        <v>0</v>
      </c>
      <c r="AZ201" s="146">
        <f t="shared" ref="AZ201:AZ225" si="160">IF(ISERROR(AY201),1,AY201)</f>
        <v>0</v>
      </c>
      <c r="BA201" s="22" t="s">
        <v>157</v>
      </c>
      <c r="BB201" s="149"/>
      <c r="BC201" s="149"/>
      <c r="BD201" s="144"/>
      <c r="BE201" s="146" t="str">
        <f t="shared" ref="BE201:BE225" si="161">IF(BD201&gt;0,BD201*T201,"")</f>
        <v/>
      </c>
      <c r="BF201" s="8" t="str">
        <f t="shared" ref="BF201:BF225" si="162">IF(BD201&gt;0%,U201*BD201,"")</f>
        <v/>
      </c>
      <c r="BG201" s="8" t="str">
        <f>IF(LEN(BC201)&gt;0,VLOOKUP(BC201,'Job Codes'!B194:I312,7,FALSE),"")</f>
        <v/>
      </c>
      <c r="BH201" s="192" t="str">
        <f>IF(LEN(BC201)&gt;0,VLOOKUP(BC201,'Job Codes'!B194:I312,8,FALSE),"")</f>
        <v/>
      </c>
      <c r="BI201" s="192" t="str">
        <f>IF(LEN(BC201)&gt;0,VLOOKUP(BC201,'Job Codes'!$B$2:$J$120,9,FALSE),"")</f>
        <v/>
      </c>
      <c r="BJ201" s="146" t="str">
        <f>IF(LEN(BC201)&gt;0,VLOOKUP(BC201,'Job Codes'!$B$2:$I$120,4,FALSE),"")</f>
        <v/>
      </c>
      <c r="BK201" s="146" t="str">
        <f>IF(LEN(BC201)&gt;0,VLOOKUP(BC201,'Job Codes'!$B$2:$I$120,5,FALSE),"")</f>
        <v/>
      </c>
      <c r="BL201" s="146" t="str">
        <f>IF(LEN(BC201)&gt;0,VLOOKUP(BC201,'Job Codes'!$B$2:$I$120,6,FALSE),"")</f>
        <v/>
      </c>
      <c r="BM201" s="168">
        <f t="shared" ref="BM201:BM225" si="163">IF(BD201&gt;0,(T201+AR201+AC201+BE201),(T201+AR201+AC201))</f>
        <v>24570</v>
      </c>
      <c r="BN201" s="160">
        <f t="shared" ref="BN201:BN225" si="164">IF(BD201&gt;0,(U201+AB201+AS201+BF201),(U201+AB201+AS201))</f>
        <v>24570</v>
      </c>
      <c r="BO201" s="22" t="s">
        <v>157</v>
      </c>
      <c r="BP201" s="157">
        <f>VLOOKUP(I201,'Job Codes'!$B$2:$I$120,8,FALSE)</f>
        <v>0.05</v>
      </c>
      <c r="BQ201" s="25" t="str">
        <f>IF(O201&gt;Data!$H$33,"Yes","No")</f>
        <v>No</v>
      </c>
      <c r="BR201" s="191">
        <v>0.05</v>
      </c>
      <c r="BS201" s="150">
        <f t="shared" ref="BS201:BS225" si="165">BR201*T201</f>
        <v>1170</v>
      </c>
      <c r="BT201" s="25">
        <f t="shared" ref="BT201:BT225" si="166">BR201*U201</f>
        <v>1170</v>
      </c>
      <c r="BU201" s="161">
        <v>1</v>
      </c>
      <c r="BV201" s="168">
        <f t="shared" ref="BV201:BV225" si="167">IF(BO201="Yes",BU201*BS201,0)</f>
        <v>1170</v>
      </c>
      <c r="BW201" s="160">
        <f t="shared" ref="BW201:BW225" si="168">IF(BO201="Yes",BU201*BT201,0)</f>
        <v>1170</v>
      </c>
      <c r="BX201" s="149"/>
      <c r="BY201" s="32">
        <f t="shared" ref="BY201:BY225" si="169">IF(AND(BU201&gt;1,(ISBLANK(BX201))),1,0)</f>
        <v>0</v>
      </c>
      <c r="BZ201" s="22" t="s">
        <v>159</v>
      </c>
      <c r="CA201" s="231">
        <f>VLOOKUP(I201,'Job Codes'!$B$2:$J$120,9,FALSE)</f>
        <v>0</v>
      </c>
      <c r="CB201" s="253">
        <f t="shared" ref="CB201:CB225" si="170">IF(CA201=0,0,CA201*U201)</f>
        <v>0</v>
      </c>
      <c r="CC201" s="72"/>
      <c r="CD201" s="25" t="str">
        <f t="shared" ref="CD201:CD225" si="171">AG201</f>
        <v>Exceeds</v>
      </c>
      <c r="CE201" s="27" t="s">
        <v>160</v>
      </c>
      <c r="CF201" s="27"/>
      <c r="CG201" s="27"/>
      <c r="CH201" s="27"/>
      <c r="CI201" s="27"/>
      <c r="CJ201" s="3">
        <v>11308</v>
      </c>
      <c r="CK201" s="3" t="s">
        <v>154</v>
      </c>
      <c r="CL201" s="3">
        <v>4569</v>
      </c>
      <c r="CM201" s="3" t="s">
        <v>161</v>
      </c>
      <c r="CN201" s="3">
        <v>4571</v>
      </c>
      <c r="CO201" s="3" t="s">
        <v>162</v>
      </c>
      <c r="CP201" s="3">
        <v>12345</v>
      </c>
      <c r="CQ201" s="3" t="s">
        <v>163</v>
      </c>
      <c r="CR201" s="246" t="s">
        <v>179</v>
      </c>
      <c r="CS201" s="247" t="s">
        <v>180</v>
      </c>
      <c r="CT201" s="246" t="s">
        <v>166</v>
      </c>
      <c r="CU201" s="247" t="s">
        <v>167</v>
      </c>
      <c r="CV201" s="3" t="str">
        <f t="shared" ref="CV201:CV225" si="172">CR201&amp;";"&amp;CT201</f>
        <v>90876;99485</v>
      </c>
      <c r="CW201" s="3" t="s">
        <v>168</v>
      </c>
      <c r="CX201" s="3" t="str">
        <f t="shared" ref="CX201:CX225" si="173">IF(X201="No","AB"&amp;ROW(),"")&amp;";"&amp;IF(AD201="No","AH"&amp;ROW()&amp;";"&amp;"AI"&amp;ROW(),"")&amp;";"&amp;IF(BA201="No","BB"&amp;ROW()&amp;":"&amp;"BD"&amp;ROW(),"")&amp;";"&amp;IF(BO201="No","BU"&amp;ROW()&amp;";"&amp;"BX"&amp;ROW(),""&amp;";"&amp;IF(BZ201="No","CC"&amp;ROW(),""))</f>
        <v>;;;;CC201</v>
      </c>
      <c r="CY201" s="5" t="str">
        <f t="shared" ref="CY201:CY225" si="174">IF(CE201="Submitted","Lock","Unlock")</f>
        <v>Lock</v>
      </c>
      <c r="CZ201" s="5" t="str">
        <f t="shared" ref="CZ201:CZ225" si="175">IF(OR(CE201="",DD201&gt;2,CF201="Approved",CK201=""),"Lock","Unlock")</f>
        <v>Unlock</v>
      </c>
      <c r="DA201" s="5" t="str">
        <f t="shared" ref="DA201:DA225" si="176">IF(OR(CE201="",DD201&gt;3,CG201="Approved",CM201="",AND(DD201=2,CK201&lt;&gt;"",CF201="")),"Lock","Unlock")</f>
        <v>Lock</v>
      </c>
      <c r="DB201" s="5" t="str">
        <f t="shared" ref="DB201:DB225" si="177">IF(OR(CE201="",DD201="Final",CH201="Approved",CO201="",AND(DD201=2,CK201&lt;&gt;"",CF201=""),AND(DD201=3,CM201&lt;&gt;"",CG201="")),"Lock","Unlock")</f>
        <v>Lock</v>
      </c>
      <c r="DC201" s="5" t="str">
        <f t="shared" ref="DC201:DC225" si="178">IF(OR(CE201="",CI201="Approved",AND(DD201&lt;&gt;"Final",CK201&lt;&gt;"",CF201=""),AND(DD201&lt;&gt;"Final",CM201&lt;&gt;"",CG201=""),AND(DD201&lt;&gt;"Final",CO201&lt;&gt;"",CH201="")),"Lock","Unlock")</f>
        <v>Lock</v>
      </c>
      <c r="DD201" s="78">
        <f t="shared" ref="DD201:DD225" si="179">IF(CK201&lt;&gt;"",2,IF(CM201&lt;&gt;"",3,IF(CO201&lt;&gt;"",4,IF(CQ201&lt;&gt;"","Final"))))</f>
        <v>2</v>
      </c>
      <c r="DE201" s="2"/>
      <c r="DF201" s="2"/>
      <c r="DG201" s="2"/>
      <c r="DH201" s="2"/>
      <c r="DI201" s="2"/>
      <c r="DJ201" s="2"/>
      <c r="DK201" s="5"/>
      <c r="DL201" s="2"/>
      <c r="DM201" s="2"/>
      <c r="DN201" s="2"/>
      <c r="DO201" s="2"/>
      <c r="DP201" s="2"/>
      <c r="DQ201" s="2"/>
      <c r="DR201" s="2"/>
      <c r="DS201" s="2"/>
      <c r="DT201" s="2"/>
      <c r="DU201" s="2"/>
      <c r="DV201" s="2"/>
      <c r="DW201" s="2"/>
      <c r="DX201" s="2"/>
      <c r="DY201" s="2"/>
      <c r="DZ201" s="2"/>
      <c r="EA201" s="2"/>
      <c r="EB201" s="2"/>
      <c r="EC201" s="2"/>
      <c r="ED201" s="2"/>
      <c r="EE201" s="2"/>
      <c r="EF201" s="1"/>
      <c r="EG201" s="98"/>
      <c r="EH201" s="98"/>
      <c r="EI201" s="1"/>
      <c r="EJ201" s="1"/>
      <c r="EK201" s="98"/>
      <c r="EL201" s="1"/>
    </row>
    <row r="202" spans="1:142">
      <c r="A202" s="32">
        <f t="shared" si="138"/>
        <v>27826</v>
      </c>
      <c r="B202" s="3" t="str">
        <f t="shared" si="139"/>
        <v>sv_statement//Statement//Export Statement&amp;PDFID=Marjorie Ferguson_27826&amp;SO=Y</v>
      </c>
      <c r="C202" s="5" t="str">
        <f t="shared" ref="C202:C225" si="180">IF(OR(AD202="Yes",BA202="Yes",BO202="Yes"),CW202,"")</f>
        <v>Statement</v>
      </c>
      <c r="D202" s="5" t="str">
        <f t="shared" si="140"/>
        <v>Marjorie Ferguson_27826</v>
      </c>
      <c r="E202" s="5"/>
      <c r="F202" s="5">
        <v>27826</v>
      </c>
      <c r="G202" s="22" t="s">
        <v>506</v>
      </c>
      <c r="H202" s="5" t="s">
        <v>341</v>
      </c>
      <c r="I202" s="5" t="s">
        <v>344</v>
      </c>
      <c r="J202" s="5" t="s">
        <v>152</v>
      </c>
      <c r="K202" s="5" t="s">
        <v>480</v>
      </c>
      <c r="L202" s="31">
        <f t="shared" si="141"/>
        <v>11277</v>
      </c>
      <c r="M202" s="5" t="s">
        <v>203</v>
      </c>
      <c r="N202" s="22" t="s">
        <v>155</v>
      </c>
      <c r="O202" s="100">
        <v>40224</v>
      </c>
      <c r="P202" s="146">
        <f>VLOOKUP(I202,'Job Codes'!$B$2:$I$120,4,FALSE)</f>
        <v>37000</v>
      </c>
      <c r="Q202" s="146">
        <f>VLOOKUP(I202,'Job Codes'!$B$2:$I$120,5,FALSE)</f>
        <v>48100</v>
      </c>
      <c r="R202" s="146">
        <f>VLOOKUP(I202,'Job Codes'!$B$2:$I$120,6,FALSE)</f>
        <v>57720</v>
      </c>
      <c r="S202" s="22" t="s">
        <v>171</v>
      </c>
      <c r="T202" s="146">
        <v>23400</v>
      </c>
      <c r="U202" s="8">
        <f>VLOOKUP(S202,Data!$H$22:$I$25,2,FALSE)*T202</f>
        <v>23400</v>
      </c>
      <c r="V202" s="180">
        <f t="shared" si="142"/>
        <v>0.48648648648648651</v>
      </c>
      <c r="W202" s="180">
        <f t="shared" si="143"/>
        <v>1.0555555555555556</v>
      </c>
      <c r="X202" s="22" t="str">
        <f t="shared" si="144"/>
        <v>Yes</v>
      </c>
      <c r="Y202" s="180">
        <f t="shared" si="145"/>
        <v>0.02</v>
      </c>
      <c r="Z202" s="146">
        <f t="shared" si="146"/>
        <v>468</v>
      </c>
      <c r="AA202" s="146">
        <f t="shared" si="147"/>
        <v>468</v>
      </c>
      <c r="AB202" s="72"/>
      <c r="AC202" s="146">
        <f>AB202/VLOOKUP(S202,Data!$H$22:$I$25,2,FALSE)</f>
        <v>0</v>
      </c>
      <c r="AD202" s="22" t="s">
        <v>157</v>
      </c>
      <c r="AE202" s="146">
        <f>VLOOKUP(S202,Data!$H$22:$J$25,3,FALSE)*T202</f>
        <v>702</v>
      </c>
      <c r="AF202" s="8">
        <f>VLOOKUP(S202,Data!$H$22:$I$25,2,FALSE)*AE202</f>
        <v>702</v>
      </c>
      <c r="AG202" s="8" t="s">
        <v>172</v>
      </c>
      <c r="AH202" s="23">
        <v>0</v>
      </c>
      <c r="AI202" s="72"/>
      <c r="AJ202" s="159">
        <f t="shared" si="148"/>
        <v>0</v>
      </c>
      <c r="AK202" s="168">
        <f t="shared" ref="AK202:AK225" si="181">AJ202*(T202+AC202)</f>
        <v>0</v>
      </c>
      <c r="AL202" s="160">
        <f t="shared" ref="AL202:AL225" si="182">IF(AH202="",AI202,(U202+AB202)*AH202)</f>
        <v>0</v>
      </c>
      <c r="AM202" s="168">
        <f t="shared" si="149"/>
        <v>23400</v>
      </c>
      <c r="AN202" s="160">
        <f t="shared" si="150"/>
        <v>23400</v>
      </c>
      <c r="AO202" s="160" t="str">
        <f t="shared" ref="AO202:AO225" si="183">IF(AN202&gt;R202,"Yes by USD "&amp;TEXT((AN202-R202),"#,##0"),"No")</f>
        <v>No</v>
      </c>
      <c r="AP202" s="146">
        <f>IF(AQ202=0,0,AQ202/VLOOKUP(S202,Data!$H$22:$I$25,2,FALSE))</f>
        <v>0</v>
      </c>
      <c r="AQ202" s="183">
        <f t="shared" si="151"/>
        <v>0</v>
      </c>
      <c r="AR202" s="165">
        <f t="shared" si="152"/>
        <v>0</v>
      </c>
      <c r="AS202" s="183">
        <f t="shared" si="153"/>
        <v>0</v>
      </c>
      <c r="AT202" s="250">
        <f t="shared" si="154"/>
        <v>0</v>
      </c>
      <c r="AU202" s="146">
        <f t="shared" si="155"/>
        <v>23400</v>
      </c>
      <c r="AV202" s="8">
        <f t="shared" si="156"/>
        <v>23400</v>
      </c>
      <c r="AW202" s="8" t="str">
        <f t="shared" si="157"/>
        <v/>
      </c>
      <c r="AX202" s="180">
        <f t="shared" si="158"/>
        <v>0.48648648648648651</v>
      </c>
      <c r="AY202" s="146">
        <f t="shared" si="159"/>
        <v>0</v>
      </c>
      <c r="AZ202" s="146">
        <f t="shared" si="160"/>
        <v>0</v>
      </c>
      <c r="BA202" s="22" t="s">
        <v>159</v>
      </c>
      <c r="BB202" s="149"/>
      <c r="BC202" s="149"/>
      <c r="BD202" s="144"/>
      <c r="BE202" s="146" t="str">
        <f t="shared" si="161"/>
        <v/>
      </c>
      <c r="BF202" s="8" t="str">
        <f t="shared" si="162"/>
        <v/>
      </c>
      <c r="BG202" s="8" t="str">
        <f>IF(LEN(BC202)&gt;0,VLOOKUP(BC202,'Job Codes'!B195:I313,7,FALSE),"")</f>
        <v/>
      </c>
      <c r="BH202" s="192" t="str">
        <f>IF(LEN(BC202)&gt;0,VLOOKUP(BC202,'Job Codes'!B195:I313,8,FALSE),"")</f>
        <v/>
      </c>
      <c r="BI202" s="192" t="str">
        <f>IF(LEN(BC202)&gt;0,VLOOKUP(BC202,'Job Codes'!$B$2:$J$120,9,FALSE),"")</f>
        <v/>
      </c>
      <c r="BJ202" s="146" t="str">
        <f>IF(LEN(BC202)&gt;0,VLOOKUP(BC202,'Job Codes'!$B$2:$I$120,4,FALSE),"")</f>
        <v/>
      </c>
      <c r="BK202" s="146" t="str">
        <f>IF(LEN(BC202)&gt;0,VLOOKUP(BC202,'Job Codes'!$B$2:$I$120,5,FALSE),"")</f>
        <v/>
      </c>
      <c r="BL202" s="146" t="str">
        <f>IF(LEN(BC202)&gt;0,VLOOKUP(BC202,'Job Codes'!$B$2:$I$120,6,FALSE),"")</f>
        <v/>
      </c>
      <c r="BM202" s="168">
        <f t="shared" si="163"/>
        <v>23400</v>
      </c>
      <c r="BN202" s="160">
        <f t="shared" si="164"/>
        <v>23400</v>
      </c>
      <c r="BO202" s="22" t="s">
        <v>157</v>
      </c>
      <c r="BP202" s="157">
        <f>VLOOKUP(I202,'Job Codes'!$B$2:$I$120,8,FALSE)</f>
        <v>0.15</v>
      </c>
      <c r="BQ202" s="25" t="str">
        <f>IF(O202&gt;Data!$H$33,"Yes","No")</f>
        <v>No</v>
      </c>
      <c r="BR202" s="191">
        <v>0.15</v>
      </c>
      <c r="BS202" s="150">
        <f t="shared" si="165"/>
        <v>3510</v>
      </c>
      <c r="BT202" s="25">
        <f t="shared" si="166"/>
        <v>3510</v>
      </c>
      <c r="BU202" s="161">
        <v>1</v>
      </c>
      <c r="BV202" s="168">
        <f t="shared" si="167"/>
        <v>3510</v>
      </c>
      <c r="BW202" s="160">
        <f t="shared" si="168"/>
        <v>3510</v>
      </c>
      <c r="BX202" s="149"/>
      <c r="BY202" s="32">
        <f t="shared" si="169"/>
        <v>0</v>
      </c>
      <c r="BZ202" s="22" t="s">
        <v>157</v>
      </c>
      <c r="CA202" s="231">
        <f>VLOOKUP(I202,'Job Codes'!$B$2:$J$120,9,FALSE)</f>
        <v>0.15</v>
      </c>
      <c r="CB202" s="253">
        <f t="shared" si="170"/>
        <v>3510</v>
      </c>
      <c r="CC202" s="72"/>
      <c r="CD202" s="25" t="str">
        <f t="shared" si="171"/>
        <v>Below</v>
      </c>
      <c r="CE202" s="27" t="s">
        <v>160</v>
      </c>
      <c r="CF202" s="27"/>
      <c r="CG202" s="27"/>
      <c r="CH202" s="27"/>
      <c r="CI202" s="27"/>
      <c r="CJ202" s="3">
        <v>11308</v>
      </c>
      <c r="CK202" s="3" t="s">
        <v>154</v>
      </c>
      <c r="CL202" s="3">
        <v>4569</v>
      </c>
      <c r="CM202" s="3" t="s">
        <v>161</v>
      </c>
      <c r="CN202" s="3">
        <v>4571</v>
      </c>
      <c r="CO202" s="3" t="s">
        <v>162</v>
      </c>
      <c r="CP202" s="3">
        <v>12345</v>
      </c>
      <c r="CQ202" s="3" t="s">
        <v>163</v>
      </c>
      <c r="CR202" s="246" t="s">
        <v>179</v>
      </c>
      <c r="CS202" s="247" t="s">
        <v>180</v>
      </c>
      <c r="CT202" s="246" t="s">
        <v>166</v>
      </c>
      <c r="CU202" s="247" t="s">
        <v>167</v>
      </c>
      <c r="CV202" s="3" t="str">
        <f t="shared" si="172"/>
        <v>90876;99485</v>
      </c>
      <c r="CW202" s="3" t="s">
        <v>168</v>
      </c>
      <c r="CX202" s="3" t="str">
        <f t="shared" si="173"/>
        <v>;;BB202:BD202;;</v>
      </c>
      <c r="CY202" s="5" t="str">
        <f t="shared" si="174"/>
        <v>Lock</v>
      </c>
      <c r="CZ202" s="5" t="str">
        <f t="shared" si="175"/>
        <v>Unlock</v>
      </c>
      <c r="DA202" s="5" t="str">
        <f t="shared" si="176"/>
        <v>Lock</v>
      </c>
      <c r="DB202" s="5" t="str">
        <f t="shared" si="177"/>
        <v>Lock</v>
      </c>
      <c r="DC202" s="5" t="str">
        <f t="shared" si="178"/>
        <v>Lock</v>
      </c>
      <c r="DD202" s="78">
        <f t="shared" si="179"/>
        <v>2</v>
      </c>
      <c r="DE202" s="2"/>
      <c r="DF202" s="2"/>
      <c r="DG202" s="2"/>
      <c r="DH202" s="2"/>
      <c r="DI202" s="2"/>
      <c r="DJ202" s="2"/>
      <c r="DK202" s="5"/>
      <c r="DL202" s="2"/>
      <c r="DM202" s="2"/>
      <c r="DN202" s="2"/>
      <c r="DO202" s="2"/>
      <c r="DP202" s="2"/>
      <c r="DQ202" s="2"/>
      <c r="DR202" s="2"/>
      <c r="DS202" s="2"/>
      <c r="DT202" s="2"/>
      <c r="DU202" s="2"/>
      <c r="DV202" s="2"/>
      <c r="DW202" s="2"/>
      <c r="DX202" s="2"/>
      <c r="DY202" s="2"/>
      <c r="DZ202" s="2"/>
      <c r="EA202" s="2"/>
      <c r="EB202" s="2"/>
      <c r="EC202" s="2"/>
      <c r="ED202" s="2"/>
      <c r="EE202" s="2"/>
      <c r="EF202" s="1"/>
      <c r="EG202" s="98"/>
      <c r="EH202" s="98"/>
      <c r="EI202" s="1"/>
      <c r="EJ202" s="1"/>
      <c r="EK202" s="98"/>
      <c r="EL202" s="1"/>
    </row>
    <row r="203" spans="1:142">
      <c r="A203" s="32">
        <f t="shared" si="138"/>
        <v>27937</v>
      </c>
      <c r="B203" s="3" t="str">
        <f t="shared" si="139"/>
        <v>sv_statement//Statement//Export Statement&amp;PDFID=Antonio Casas_27937&amp;SO=Y</v>
      </c>
      <c r="C203" s="5" t="str">
        <f t="shared" si="180"/>
        <v>Statement</v>
      </c>
      <c r="D203" s="5" t="str">
        <f t="shared" si="140"/>
        <v>Antonio Casas_27937</v>
      </c>
      <c r="E203" s="5"/>
      <c r="F203" s="5">
        <v>27937</v>
      </c>
      <c r="G203" s="22" t="s">
        <v>507</v>
      </c>
      <c r="H203" s="5" t="s">
        <v>214</v>
      </c>
      <c r="I203" s="5" t="s">
        <v>223</v>
      </c>
      <c r="J203" s="5" t="s">
        <v>152</v>
      </c>
      <c r="K203" s="5" t="s">
        <v>480</v>
      </c>
      <c r="L203" s="31">
        <f t="shared" si="141"/>
        <v>11498</v>
      </c>
      <c r="M203" s="5" t="s">
        <v>197</v>
      </c>
      <c r="N203" s="22" t="s">
        <v>155</v>
      </c>
      <c r="O203" s="100">
        <v>40231</v>
      </c>
      <c r="P203" s="146">
        <f>VLOOKUP(I203,'Job Codes'!$B$2:$I$120,4,FALSE)</f>
        <v>33000</v>
      </c>
      <c r="Q203" s="146">
        <f>VLOOKUP(I203,'Job Codes'!$B$2:$I$120,5,FALSE)</f>
        <v>42900</v>
      </c>
      <c r="R203" s="146">
        <f>VLOOKUP(I203,'Job Codes'!$B$2:$I$120,6,FALSE)</f>
        <v>51480</v>
      </c>
      <c r="S203" s="22" t="s">
        <v>171</v>
      </c>
      <c r="T203" s="146">
        <v>31200</v>
      </c>
      <c r="U203" s="8">
        <f>VLOOKUP(S203,Data!$H$22:$I$25,2,FALSE)*T203</f>
        <v>31200</v>
      </c>
      <c r="V203" s="180">
        <f t="shared" si="142"/>
        <v>0.72727272727272729</v>
      </c>
      <c r="W203" s="180">
        <f t="shared" si="143"/>
        <v>0.375</v>
      </c>
      <c r="X203" s="22" t="str">
        <f t="shared" si="144"/>
        <v>Yes</v>
      </c>
      <c r="Y203" s="180">
        <f t="shared" si="145"/>
        <v>0.02</v>
      </c>
      <c r="Z203" s="146">
        <f t="shared" si="146"/>
        <v>624</v>
      </c>
      <c r="AA203" s="146">
        <f t="shared" si="147"/>
        <v>624</v>
      </c>
      <c r="AB203" s="72"/>
      <c r="AC203" s="146">
        <f>AB203/VLOOKUP(S203,Data!$H$22:$I$25,2,FALSE)</f>
        <v>0</v>
      </c>
      <c r="AD203" s="22" t="s">
        <v>157</v>
      </c>
      <c r="AE203" s="146">
        <f>VLOOKUP(S203,Data!$H$22:$J$25,3,FALSE)*T203</f>
        <v>936</v>
      </c>
      <c r="AF203" s="8">
        <f>VLOOKUP(S203,Data!$H$22:$I$25,2,FALSE)*AE203</f>
        <v>936</v>
      </c>
      <c r="AG203" s="8" t="s">
        <v>178</v>
      </c>
      <c r="AH203" s="23">
        <v>0.02</v>
      </c>
      <c r="AI203" s="72"/>
      <c r="AJ203" s="159">
        <f t="shared" si="148"/>
        <v>0.02</v>
      </c>
      <c r="AK203" s="168">
        <f t="shared" si="181"/>
        <v>624</v>
      </c>
      <c r="AL203" s="160">
        <f t="shared" si="182"/>
        <v>624</v>
      </c>
      <c r="AM203" s="168">
        <f t="shared" si="149"/>
        <v>31824</v>
      </c>
      <c r="AN203" s="160">
        <f t="shared" si="150"/>
        <v>31824</v>
      </c>
      <c r="AO203" s="160" t="str">
        <f t="shared" si="183"/>
        <v>No</v>
      </c>
      <c r="AP203" s="146">
        <f>IF(AQ203=0,0,AQ203/VLOOKUP(S203,Data!$H$22:$I$25,2,FALSE))</f>
        <v>0</v>
      </c>
      <c r="AQ203" s="183">
        <f t="shared" si="151"/>
        <v>0</v>
      </c>
      <c r="AR203" s="165">
        <f t="shared" si="152"/>
        <v>624</v>
      </c>
      <c r="AS203" s="183">
        <f t="shared" si="153"/>
        <v>624</v>
      </c>
      <c r="AT203" s="250">
        <f t="shared" si="154"/>
        <v>0.02</v>
      </c>
      <c r="AU203" s="146">
        <f t="shared" si="155"/>
        <v>31824</v>
      </c>
      <c r="AV203" s="8">
        <f t="shared" si="156"/>
        <v>31824</v>
      </c>
      <c r="AW203" s="8" t="str">
        <f t="shared" si="157"/>
        <v/>
      </c>
      <c r="AX203" s="180">
        <f t="shared" si="158"/>
        <v>0.74181818181818182</v>
      </c>
      <c r="AY203" s="146">
        <f t="shared" si="159"/>
        <v>0</v>
      </c>
      <c r="AZ203" s="146">
        <f t="shared" si="160"/>
        <v>0</v>
      </c>
      <c r="BA203" s="22" t="s">
        <v>159</v>
      </c>
      <c r="BB203" s="149"/>
      <c r="BC203" s="149"/>
      <c r="BD203" s="144"/>
      <c r="BE203" s="146" t="str">
        <f t="shared" si="161"/>
        <v/>
      </c>
      <c r="BF203" s="8" t="str">
        <f t="shared" si="162"/>
        <v/>
      </c>
      <c r="BG203" s="8" t="str">
        <f>IF(LEN(BC203)&gt;0,VLOOKUP(BC203,'Job Codes'!B196:I314,7,FALSE),"")</f>
        <v/>
      </c>
      <c r="BH203" s="192" t="str">
        <f>IF(LEN(BC203)&gt;0,VLOOKUP(BC203,'Job Codes'!B196:I314,8,FALSE),"")</f>
        <v/>
      </c>
      <c r="BI203" s="192" t="str">
        <f>IF(LEN(BC203)&gt;0,VLOOKUP(BC203,'Job Codes'!$B$2:$J$120,9,FALSE),"")</f>
        <v/>
      </c>
      <c r="BJ203" s="146" t="str">
        <f>IF(LEN(BC203)&gt;0,VLOOKUP(BC203,'Job Codes'!$B$2:$I$120,4,FALSE),"")</f>
        <v/>
      </c>
      <c r="BK203" s="146" t="str">
        <f>IF(LEN(BC203)&gt;0,VLOOKUP(BC203,'Job Codes'!$B$2:$I$120,5,FALSE),"")</f>
        <v/>
      </c>
      <c r="BL203" s="146" t="str">
        <f>IF(LEN(BC203)&gt;0,VLOOKUP(BC203,'Job Codes'!$B$2:$I$120,6,FALSE),"")</f>
        <v/>
      </c>
      <c r="BM203" s="168">
        <f t="shared" si="163"/>
        <v>31824</v>
      </c>
      <c r="BN203" s="160">
        <f t="shared" si="164"/>
        <v>31824</v>
      </c>
      <c r="BO203" s="22" t="s">
        <v>157</v>
      </c>
      <c r="BP203" s="157">
        <f>VLOOKUP(I203,'Job Codes'!$B$2:$I$120,8,FALSE)</f>
        <v>0.1</v>
      </c>
      <c r="BQ203" s="25" t="str">
        <f>IF(O203&gt;Data!$H$33,"Yes","No")</f>
        <v>No</v>
      </c>
      <c r="BR203" s="191">
        <v>0.1</v>
      </c>
      <c r="BS203" s="150">
        <f t="shared" si="165"/>
        <v>3120</v>
      </c>
      <c r="BT203" s="25">
        <f t="shared" si="166"/>
        <v>3120</v>
      </c>
      <c r="BU203" s="161">
        <v>1</v>
      </c>
      <c r="BV203" s="168">
        <f t="shared" si="167"/>
        <v>3120</v>
      </c>
      <c r="BW203" s="160">
        <f t="shared" si="168"/>
        <v>3120</v>
      </c>
      <c r="BX203" s="149"/>
      <c r="BY203" s="32">
        <f t="shared" si="169"/>
        <v>0</v>
      </c>
      <c r="BZ203" s="22" t="s">
        <v>157</v>
      </c>
      <c r="CA203" s="231">
        <f>VLOOKUP(I203,'Job Codes'!$B$2:$J$120,9,FALSE)</f>
        <v>0.1</v>
      </c>
      <c r="CB203" s="253">
        <f t="shared" si="170"/>
        <v>3120</v>
      </c>
      <c r="CC203" s="72"/>
      <c r="CD203" s="25" t="str">
        <f t="shared" si="171"/>
        <v>Meets</v>
      </c>
      <c r="CE203" s="27"/>
      <c r="CF203" s="27"/>
      <c r="CG203" s="27"/>
      <c r="CH203" s="27"/>
      <c r="CI203" s="27"/>
      <c r="CJ203" s="3">
        <v>20714</v>
      </c>
      <c r="CK203" s="3" t="s">
        <v>198</v>
      </c>
      <c r="CL203" s="3">
        <v>4569</v>
      </c>
      <c r="CM203" s="3" t="s">
        <v>161</v>
      </c>
      <c r="CN203" s="3">
        <v>4571</v>
      </c>
      <c r="CO203" s="3" t="s">
        <v>162</v>
      </c>
      <c r="CP203" s="3">
        <v>12345</v>
      </c>
      <c r="CQ203" s="3" t="s">
        <v>163</v>
      </c>
      <c r="CR203" s="246" t="s">
        <v>166</v>
      </c>
      <c r="CS203" s="247" t="s">
        <v>167</v>
      </c>
      <c r="CT203" s="246" t="s">
        <v>199</v>
      </c>
      <c r="CU203" s="247" t="s">
        <v>200</v>
      </c>
      <c r="CV203" s="3" t="str">
        <f t="shared" si="172"/>
        <v>99485;36523</v>
      </c>
      <c r="CW203" s="3" t="s">
        <v>168</v>
      </c>
      <c r="CX203" s="3" t="str">
        <f t="shared" si="173"/>
        <v>;;BB203:BD203;;</v>
      </c>
      <c r="CY203" s="5" t="str">
        <f t="shared" si="174"/>
        <v>Unlock</v>
      </c>
      <c r="CZ203" s="5" t="str">
        <f t="shared" si="175"/>
        <v>Lock</v>
      </c>
      <c r="DA203" s="5" t="str">
        <f t="shared" si="176"/>
        <v>Lock</v>
      </c>
      <c r="DB203" s="5" t="str">
        <f t="shared" si="177"/>
        <v>Lock</v>
      </c>
      <c r="DC203" s="5" t="str">
        <f t="shared" si="178"/>
        <v>Lock</v>
      </c>
      <c r="DD203" s="78">
        <f t="shared" si="179"/>
        <v>2</v>
      </c>
      <c r="DE203" s="2"/>
      <c r="DF203" s="2"/>
      <c r="DG203" s="2"/>
      <c r="DH203" s="2"/>
      <c r="DI203" s="2"/>
      <c r="DJ203" s="2"/>
      <c r="DK203" s="5"/>
      <c r="DL203" s="2"/>
      <c r="DM203" s="2"/>
      <c r="DN203" s="2"/>
      <c r="DO203" s="2"/>
      <c r="DP203" s="2"/>
      <c r="DQ203" s="2"/>
      <c r="DR203" s="2"/>
      <c r="DS203" s="2"/>
      <c r="DT203" s="2"/>
      <c r="DU203" s="2"/>
      <c r="DV203" s="2"/>
      <c r="DW203" s="2"/>
      <c r="DX203" s="2"/>
      <c r="DY203" s="2"/>
      <c r="DZ203" s="2"/>
      <c r="EA203" s="2"/>
      <c r="EB203" s="2"/>
      <c r="EC203" s="2"/>
      <c r="ED203" s="2"/>
      <c r="EE203" s="2"/>
      <c r="EF203" s="1"/>
      <c r="EG203" s="98"/>
      <c r="EH203" s="98"/>
      <c r="EI203" s="1"/>
      <c r="EJ203" s="1"/>
      <c r="EK203" s="98"/>
      <c r="EL203" s="1"/>
    </row>
    <row r="204" spans="1:142">
      <c r="A204" s="32">
        <f t="shared" si="138"/>
        <v>27939</v>
      </c>
      <c r="B204" s="3" t="str">
        <f t="shared" si="139"/>
        <v>sv_statement//Statement//Export Statement&amp;PDFID=Chad Beard_27939&amp;SO=Y</v>
      </c>
      <c r="C204" s="5" t="str">
        <f t="shared" si="180"/>
        <v>Statement</v>
      </c>
      <c r="D204" s="5" t="str">
        <f t="shared" si="140"/>
        <v>Chad Beard_27939</v>
      </c>
      <c r="E204" s="5"/>
      <c r="F204" s="5">
        <v>27939</v>
      </c>
      <c r="G204" s="22" t="s">
        <v>508</v>
      </c>
      <c r="H204" s="5" t="s">
        <v>214</v>
      </c>
      <c r="I204" s="5" t="s">
        <v>268</v>
      </c>
      <c r="J204" s="5" t="s">
        <v>152</v>
      </c>
      <c r="K204" s="5" t="s">
        <v>480</v>
      </c>
      <c r="L204" s="31">
        <f t="shared" si="141"/>
        <v>11498</v>
      </c>
      <c r="M204" s="5" t="s">
        <v>197</v>
      </c>
      <c r="N204" s="22" t="s">
        <v>155</v>
      </c>
      <c r="O204" s="100">
        <v>40231</v>
      </c>
      <c r="P204" s="146">
        <f>VLOOKUP(I204,'Job Codes'!$B$2:$I$120,4,FALSE)</f>
        <v>37000</v>
      </c>
      <c r="Q204" s="146">
        <f>VLOOKUP(I204,'Job Codes'!$B$2:$I$120,5,FALSE)</f>
        <v>48100</v>
      </c>
      <c r="R204" s="146">
        <f>VLOOKUP(I204,'Job Codes'!$B$2:$I$120,6,FALSE)</f>
        <v>57720</v>
      </c>
      <c r="S204" s="22" t="s">
        <v>171</v>
      </c>
      <c r="T204" s="146">
        <v>28600</v>
      </c>
      <c r="U204" s="8">
        <f>VLOOKUP(S204,Data!$H$22:$I$25,2,FALSE)*T204</f>
        <v>28600</v>
      </c>
      <c r="V204" s="180">
        <f t="shared" si="142"/>
        <v>0.59459459459459463</v>
      </c>
      <c r="W204" s="180">
        <f t="shared" si="143"/>
        <v>0.68181818181818177</v>
      </c>
      <c r="X204" s="22" t="str">
        <f t="shared" si="144"/>
        <v>Yes</v>
      </c>
      <c r="Y204" s="180">
        <f t="shared" si="145"/>
        <v>0.02</v>
      </c>
      <c r="Z204" s="146">
        <f t="shared" si="146"/>
        <v>572</v>
      </c>
      <c r="AA204" s="146">
        <f t="shared" si="147"/>
        <v>572</v>
      </c>
      <c r="AB204" s="72"/>
      <c r="AC204" s="146">
        <f>AB204/VLOOKUP(S204,Data!$H$22:$I$25,2,FALSE)</f>
        <v>0</v>
      </c>
      <c r="AD204" s="22" t="s">
        <v>157</v>
      </c>
      <c r="AE204" s="146">
        <f>VLOOKUP(S204,Data!$H$22:$J$25,3,FALSE)*T204</f>
        <v>858</v>
      </c>
      <c r="AF204" s="8">
        <f>VLOOKUP(S204,Data!$H$22:$I$25,2,FALSE)*AE204</f>
        <v>858</v>
      </c>
      <c r="AG204" s="8" t="s">
        <v>178</v>
      </c>
      <c r="AH204" s="23">
        <v>0.02</v>
      </c>
      <c r="AI204" s="72"/>
      <c r="AJ204" s="159">
        <f t="shared" si="148"/>
        <v>0.02</v>
      </c>
      <c r="AK204" s="168">
        <f t="shared" si="181"/>
        <v>572</v>
      </c>
      <c r="AL204" s="160">
        <f t="shared" si="182"/>
        <v>572</v>
      </c>
      <c r="AM204" s="168">
        <f t="shared" si="149"/>
        <v>29172</v>
      </c>
      <c r="AN204" s="160">
        <f t="shared" si="150"/>
        <v>29172</v>
      </c>
      <c r="AO204" s="160" t="str">
        <f t="shared" si="183"/>
        <v>No</v>
      </c>
      <c r="AP204" s="146">
        <f>IF(AQ204=0,0,AQ204/VLOOKUP(S204,Data!$H$22:$I$25,2,FALSE))</f>
        <v>0</v>
      </c>
      <c r="AQ204" s="183">
        <f t="shared" si="151"/>
        <v>0</v>
      </c>
      <c r="AR204" s="165">
        <f t="shared" si="152"/>
        <v>572</v>
      </c>
      <c r="AS204" s="183">
        <f t="shared" si="153"/>
        <v>572</v>
      </c>
      <c r="AT204" s="250">
        <f t="shared" si="154"/>
        <v>0.02</v>
      </c>
      <c r="AU204" s="146">
        <f t="shared" si="155"/>
        <v>29172</v>
      </c>
      <c r="AV204" s="8">
        <f t="shared" si="156"/>
        <v>29172</v>
      </c>
      <c r="AW204" s="8" t="str">
        <f t="shared" si="157"/>
        <v/>
      </c>
      <c r="AX204" s="180">
        <f t="shared" si="158"/>
        <v>0.60648648648648651</v>
      </c>
      <c r="AY204" s="146">
        <f t="shared" si="159"/>
        <v>0</v>
      </c>
      <c r="AZ204" s="146">
        <f t="shared" si="160"/>
        <v>0</v>
      </c>
      <c r="BA204" s="22" t="s">
        <v>159</v>
      </c>
      <c r="BB204" s="149"/>
      <c r="BC204" s="149"/>
      <c r="BD204" s="144"/>
      <c r="BE204" s="146" t="str">
        <f t="shared" si="161"/>
        <v/>
      </c>
      <c r="BF204" s="8" t="str">
        <f t="shared" si="162"/>
        <v/>
      </c>
      <c r="BG204" s="8" t="str">
        <f>IF(LEN(BC204)&gt;0,VLOOKUP(BC204,'Job Codes'!B197:I315,7,FALSE),"")</f>
        <v/>
      </c>
      <c r="BH204" s="192" t="str">
        <f>IF(LEN(BC204)&gt;0,VLOOKUP(BC204,'Job Codes'!B197:I315,8,FALSE),"")</f>
        <v/>
      </c>
      <c r="BI204" s="192" t="str">
        <f>IF(LEN(BC204)&gt;0,VLOOKUP(BC204,'Job Codes'!$B$2:$J$120,9,FALSE),"")</f>
        <v/>
      </c>
      <c r="BJ204" s="146" t="str">
        <f>IF(LEN(BC204)&gt;0,VLOOKUP(BC204,'Job Codes'!$B$2:$I$120,4,FALSE),"")</f>
        <v/>
      </c>
      <c r="BK204" s="146" t="str">
        <f>IF(LEN(BC204)&gt;0,VLOOKUP(BC204,'Job Codes'!$B$2:$I$120,5,FALSE),"")</f>
        <v/>
      </c>
      <c r="BL204" s="146" t="str">
        <f>IF(LEN(BC204)&gt;0,VLOOKUP(BC204,'Job Codes'!$B$2:$I$120,6,FALSE),"")</f>
        <v/>
      </c>
      <c r="BM204" s="168">
        <f t="shared" si="163"/>
        <v>29172</v>
      </c>
      <c r="BN204" s="160">
        <f t="shared" si="164"/>
        <v>29172</v>
      </c>
      <c r="BO204" s="22" t="s">
        <v>157</v>
      </c>
      <c r="BP204" s="157">
        <f>VLOOKUP(I204,'Job Codes'!$B$2:$I$120,8,FALSE)</f>
        <v>0.15</v>
      </c>
      <c r="BQ204" s="25" t="str">
        <f>IF(O204&gt;Data!$H$33,"Yes","No")</f>
        <v>No</v>
      </c>
      <c r="BR204" s="191">
        <v>0.15</v>
      </c>
      <c r="BS204" s="150">
        <f t="shared" si="165"/>
        <v>4290</v>
      </c>
      <c r="BT204" s="25">
        <f t="shared" si="166"/>
        <v>4290</v>
      </c>
      <c r="BU204" s="161">
        <v>1</v>
      </c>
      <c r="BV204" s="168">
        <f t="shared" si="167"/>
        <v>4290</v>
      </c>
      <c r="BW204" s="160">
        <f t="shared" si="168"/>
        <v>4290</v>
      </c>
      <c r="BX204" s="149"/>
      <c r="BY204" s="32">
        <f t="shared" si="169"/>
        <v>0</v>
      </c>
      <c r="BZ204" s="22" t="s">
        <v>157</v>
      </c>
      <c r="CA204" s="231">
        <f>VLOOKUP(I204,'Job Codes'!$B$2:$J$120,9,FALSE)</f>
        <v>0.15</v>
      </c>
      <c r="CB204" s="253">
        <f t="shared" si="170"/>
        <v>4290</v>
      </c>
      <c r="CC204" s="72"/>
      <c r="CD204" s="25" t="str">
        <f t="shared" si="171"/>
        <v>Meets</v>
      </c>
      <c r="CE204" s="27"/>
      <c r="CF204" s="27"/>
      <c r="CG204" s="27"/>
      <c r="CH204" s="27"/>
      <c r="CI204" s="27"/>
      <c r="CJ204" s="3">
        <v>20714</v>
      </c>
      <c r="CK204" s="3" t="s">
        <v>198</v>
      </c>
      <c r="CL204" s="3">
        <v>4569</v>
      </c>
      <c r="CM204" s="3" t="s">
        <v>161</v>
      </c>
      <c r="CN204" s="3">
        <v>4571</v>
      </c>
      <c r="CO204" s="3" t="s">
        <v>162</v>
      </c>
      <c r="CP204" s="3">
        <v>12345</v>
      </c>
      <c r="CQ204" s="3" t="s">
        <v>163</v>
      </c>
      <c r="CR204" s="246" t="s">
        <v>166</v>
      </c>
      <c r="CS204" s="247" t="s">
        <v>167</v>
      </c>
      <c r="CT204" s="246" t="s">
        <v>199</v>
      </c>
      <c r="CU204" s="247" t="s">
        <v>200</v>
      </c>
      <c r="CV204" s="3" t="str">
        <f t="shared" si="172"/>
        <v>99485;36523</v>
      </c>
      <c r="CW204" s="3" t="s">
        <v>168</v>
      </c>
      <c r="CX204" s="3" t="str">
        <f t="shared" si="173"/>
        <v>;;BB204:BD204;;</v>
      </c>
      <c r="CY204" s="5" t="str">
        <f t="shared" si="174"/>
        <v>Unlock</v>
      </c>
      <c r="CZ204" s="5" t="str">
        <f t="shared" si="175"/>
        <v>Lock</v>
      </c>
      <c r="DA204" s="5" t="str">
        <f t="shared" si="176"/>
        <v>Lock</v>
      </c>
      <c r="DB204" s="5" t="str">
        <f t="shared" si="177"/>
        <v>Lock</v>
      </c>
      <c r="DC204" s="5" t="str">
        <f t="shared" si="178"/>
        <v>Lock</v>
      </c>
      <c r="DD204" s="78">
        <f t="shared" si="179"/>
        <v>2</v>
      </c>
      <c r="DE204" s="2"/>
      <c r="DF204" s="2"/>
      <c r="DG204" s="2"/>
      <c r="DH204" s="2"/>
      <c r="DI204" s="2"/>
      <c r="DJ204" s="2"/>
      <c r="DK204" s="5"/>
      <c r="DL204" s="2"/>
      <c r="DM204" s="2"/>
      <c r="DN204" s="2"/>
      <c r="DO204" s="2"/>
      <c r="DP204" s="2"/>
      <c r="DQ204" s="2"/>
      <c r="DR204" s="2"/>
      <c r="DS204" s="2"/>
      <c r="DT204" s="2"/>
      <c r="DU204" s="2"/>
      <c r="DV204" s="2"/>
      <c r="DW204" s="2"/>
      <c r="DX204" s="2"/>
      <c r="DY204" s="2"/>
      <c r="DZ204" s="2"/>
      <c r="EA204" s="2"/>
      <c r="EB204" s="2"/>
      <c r="EC204" s="2"/>
      <c r="ED204" s="2"/>
      <c r="EE204" s="2"/>
      <c r="EF204" s="1"/>
      <c r="EG204" s="98"/>
      <c r="EH204" s="98"/>
      <c r="EI204" s="1"/>
      <c r="EJ204" s="1"/>
      <c r="EK204" s="98"/>
      <c r="EL204" s="1"/>
    </row>
    <row r="205" spans="1:142">
      <c r="A205" s="32">
        <f t="shared" si="138"/>
        <v>27943</v>
      </c>
      <c r="B205" s="3" t="str">
        <f t="shared" si="139"/>
        <v>sv_statement//Statement//Export Statement&amp;PDFID=Sherri Manzanares_27943&amp;SO=Y</v>
      </c>
      <c r="C205" s="5" t="str">
        <f t="shared" si="180"/>
        <v>Statement</v>
      </c>
      <c r="D205" s="5" t="str">
        <f t="shared" si="140"/>
        <v>Sherri Manzanares_27943</v>
      </c>
      <c r="E205" s="5"/>
      <c r="F205" s="5">
        <v>27943</v>
      </c>
      <c r="G205" s="22" t="s">
        <v>509</v>
      </c>
      <c r="H205" s="5" t="s">
        <v>214</v>
      </c>
      <c r="I205" s="5" t="s">
        <v>510</v>
      </c>
      <c r="J205" s="5" t="s">
        <v>152</v>
      </c>
      <c r="K205" s="5" t="s">
        <v>480</v>
      </c>
      <c r="L205" s="31">
        <f t="shared" si="141"/>
        <v>11498</v>
      </c>
      <c r="M205" s="5" t="s">
        <v>197</v>
      </c>
      <c r="N205" s="22" t="s">
        <v>155</v>
      </c>
      <c r="O205" s="100">
        <v>40231</v>
      </c>
      <c r="P205" s="146">
        <f>VLOOKUP(I205,'Job Codes'!$B$2:$I$120,4,FALSE)</f>
        <v>23000</v>
      </c>
      <c r="Q205" s="146">
        <f>VLOOKUP(I205,'Job Codes'!$B$2:$I$120,5,FALSE)</f>
        <v>29900</v>
      </c>
      <c r="R205" s="146">
        <f>VLOOKUP(I205,'Job Codes'!$B$2:$I$120,6,FALSE)</f>
        <v>35880</v>
      </c>
      <c r="S205" s="22" t="s">
        <v>171</v>
      </c>
      <c r="T205" s="146">
        <v>28600</v>
      </c>
      <c r="U205" s="8">
        <f>VLOOKUP(S205,Data!$H$22:$I$25,2,FALSE)*T205</f>
        <v>28600</v>
      </c>
      <c r="V205" s="180">
        <f t="shared" si="142"/>
        <v>0.95652173913043481</v>
      </c>
      <c r="W205" s="180">
        <f t="shared" si="143"/>
        <v>4.5454545454545456E-2</v>
      </c>
      <c r="X205" s="22" t="str">
        <f t="shared" si="144"/>
        <v>No</v>
      </c>
      <c r="Y205" s="180">
        <f t="shared" si="145"/>
        <v>0</v>
      </c>
      <c r="Z205" s="146">
        <f t="shared" si="146"/>
        <v>0</v>
      </c>
      <c r="AA205" s="146">
        <f t="shared" si="147"/>
        <v>0</v>
      </c>
      <c r="AB205" s="72"/>
      <c r="AC205" s="146">
        <f>AB205/VLOOKUP(S205,Data!$H$22:$I$25,2,FALSE)</f>
        <v>0</v>
      </c>
      <c r="AD205" s="22" t="s">
        <v>157</v>
      </c>
      <c r="AE205" s="146">
        <f>VLOOKUP(S205,Data!$H$22:$J$25,3,FALSE)*T205</f>
        <v>858</v>
      </c>
      <c r="AF205" s="8">
        <f>VLOOKUP(S205,Data!$H$22:$I$25,2,FALSE)*AE205</f>
        <v>858</v>
      </c>
      <c r="AG205" s="8" t="s">
        <v>178</v>
      </c>
      <c r="AH205" s="23">
        <v>0.02</v>
      </c>
      <c r="AI205" s="72"/>
      <c r="AJ205" s="159">
        <f t="shared" si="148"/>
        <v>0.02</v>
      </c>
      <c r="AK205" s="168">
        <f t="shared" si="181"/>
        <v>572</v>
      </c>
      <c r="AL205" s="160">
        <f t="shared" si="182"/>
        <v>572</v>
      </c>
      <c r="AM205" s="168">
        <f t="shared" si="149"/>
        <v>29172</v>
      </c>
      <c r="AN205" s="160">
        <f t="shared" si="150"/>
        <v>29172</v>
      </c>
      <c r="AO205" s="160" t="str">
        <f t="shared" si="183"/>
        <v>No</v>
      </c>
      <c r="AP205" s="146">
        <f>IF(AQ205=0,0,AQ205/VLOOKUP(S205,Data!$H$22:$I$25,2,FALSE))</f>
        <v>0</v>
      </c>
      <c r="AQ205" s="183">
        <f t="shared" si="151"/>
        <v>0</v>
      </c>
      <c r="AR205" s="165">
        <f t="shared" si="152"/>
        <v>572</v>
      </c>
      <c r="AS205" s="183">
        <f t="shared" si="153"/>
        <v>572</v>
      </c>
      <c r="AT205" s="250">
        <f t="shared" si="154"/>
        <v>0.02</v>
      </c>
      <c r="AU205" s="146">
        <f t="shared" si="155"/>
        <v>29172</v>
      </c>
      <c r="AV205" s="8">
        <f t="shared" si="156"/>
        <v>29172</v>
      </c>
      <c r="AW205" s="8" t="str">
        <f t="shared" si="157"/>
        <v/>
      </c>
      <c r="AX205" s="180">
        <f t="shared" si="158"/>
        <v>0.97565217391304349</v>
      </c>
      <c r="AY205" s="146">
        <f t="shared" si="159"/>
        <v>0</v>
      </c>
      <c r="AZ205" s="146">
        <f t="shared" si="160"/>
        <v>0</v>
      </c>
      <c r="BA205" s="22" t="s">
        <v>159</v>
      </c>
      <c r="BB205" s="149"/>
      <c r="BC205" s="149"/>
      <c r="BD205" s="144"/>
      <c r="BE205" s="146" t="str">
        <f t="shared" si="161"/>
        <v/>
      </c>
      <c r="BF205" s="8" t="str">
        <f t="shared" si="162"/>
        <v/>
      </c>
      <c r="BG205" s="8" t="str">
        <f>IF(LEN(BC205)&gt;0,VLOOKUP(BC205,'Job Codes'!B198:I316,7,FALSE),"")</f>
        <v/>
      </c>
      <c r="BH205" s="192" t="str">
        <f>IF(LEN(BC205)&gt;0,VLOOKUP(BC205,'Job Codes'!B198:I316,8,FALSE),"")</f>
        <v/>
      </c>
      <c r="BI205" s="192" t="str">
        <f>IF(LEN(BC205)&gt;0,VLOOKUP(BC205,'Job Codes'!$B$2:$J$120,9,FALSE),"")</f>
        <v/>
      </c>
      <c r="BJ205" s="146" t="str">
        <f>IF(LEN(BC205)&gt;0,VLOOKUP(BC205,'Job Codes'!$B$2:$I$120,4,FALSE),"")</f>
        <v/>
      </c>
      <c r="BK205" s="146" t="str">
        <f>IF(LEN(BC205)&gt;0,VLOOKUP(BC205,'Job Codes'!$B$2:$I$120,5,FALSE),"")</f>
        <v/>
      </c>
      <c r="BL205" s="146" t="str">
        <f>IF(LEN(BC205)&gt;0,VLOOKUP(BC205,'Job Codes'!$B$2:$I$120,6,FALSE),"")</f>
        <v/>
      </c>
      <c r="BM205" s="168">
        <f t="shared" si="163"/>
        <v>29172</v>
      </c>
      <c r="BN205" s="160">
        <f t="shared" si="164"/>
        <v>29172</v>
      </c>
      <c r="BO205" s="22" t="s">
        <v>159</v>
      </c>
      <c r="BP205" s="157">
        <f>VLOOKUP(I205,'Job Codes'!$B$2:$I$120,8,FALSE)</f>
        <v>0</v>
      </c>
      <c r="BQ205" s="25" t="str">
        <f>IF(O205&gt;Data!$H$33,"Yes","No")</f>
        <v>No</v>
      </c>
      <c r="BR205" s="191">
        <v>0</v>
      </c>
      <c r="BS205" s="150">
        <f t="shared" si="165"/>
        <v>0</v>
      </c>
      <c r="BT205" s="25">
        <f t="shared" si="166"/>
        <v>0</v>
      </c>
      <c r="BU205" s="161">
        <v>1</v>
      </c>
      <c r="BV205" s="168">
        <f t="shared" si="167"/>
        <v>0</v>
      </c>
      <c r="BW205" s="160">
        <f t="shared" si="168"/>
        <v>0</v>
      </c>
      <c r="BX205" s="149"/>
      <c r="BY205" s="32">
        <f t="shared" si="169"/>
        <v>0</v>
      </c>
      <c r="BZ205" s="22" t="s">
        <v>159</v>
      </c>
      <c r="CA205" s="231">
        <f>VLOOKUP(I205,'Job Codes'!$B$2:$J$120,9,FALSE)</f>
        <v>0</v>
      </c>
      <c r="CB205" s="253">
        <f t="shared" si="170"/>
        <v>0</v>
      </c>
      <c r="CC205" s="72"/>
      <c r="CD205" s="25" t="str">
        <f t="shared" si="171"/>
        <v>Meets</v>
      </c>
      <c r="CE205" s="27"/>
      <c r="CF205" s="27"/>
      <c r="CG205" s="27"/>
      <c r="CH205" s="27"/>
      <c r="CI205" s="27"/>
      <c r="CJ205" s="3">
        <v>20714</v>
      </c>
      <c r="CK205" s="3" t="s">
        <v>198</v>
      </c>
      <c r="CL205" s="3">
        <v>4569</v>
      </c>
      <c r="CM205" s="3" t="s">
        <v>161</v>
      </c>
      <c r="CN205" s="3">
        <v>4571</v>
      </c>
      <c r="CO205" s="3" t="s">
        <v>162</v>
      </c>
      <c r="CP205" s="3">
        <v>12345</v>
      </c>
      <c r="CQ205" s="3" t="s">
        <v>163</v>
      </c>
      <c r="CR205" s="246" t="s">
        <v>166</v>
      </c>
      <c r="CS205" s="247" t="s">
        <v>167</v>
      </c>
      <c r="CT205" s="246" t="s">
        <v>199</v>
      </c>
      <c r="CU205" s="247" t="s">
        <v>200</v>
      </c>
      <c r="CV205" s="3" t="str">
        <f t="shared" si="172"/>
        <v>99485;36523</v>
      </c>
      <c r="CW205" s="3" t="s">
        <v>168</v>
      </c>
      <c r="CX205" s="3" t="str">
        <f t="shared" si="173"/>
        <v>AB205;;BB205:BD205;BU205;BX205</v>
      </c>
      <c r="CY205" s="5" t="str">
        <f t="shared" si="174"/>
        <v>Unlock</v>
      </c>
      <c r="CZ205" s="5" t="str">
        <f t="shared" si="175"/>
        <v>Lock</v>
      </c>
      <c r="DA205" s="5" t="str">
        <f t="shared" si="176"/>
        <v>Lock</v>
      </c>
      <c r="DB205" s="5" t="str">
        <f t="shared" si="177"/>
        <v>Lock</v>
      </c>
      <c r="DC205" s="5" t="str">
        <f t="shared" si="178"/>
        <v>Lock</v>
      </c>
      <c r="DD205" s="78">
        <f t="shared" si="179"/>
        <v>2</v>
      </c>
      <c r="DE205" s="2"/>
      <c r="DF205" s="2"/>
      <c r="DG205" s="2"/>
      <c r="DH205" s="2"/>
      <c r="DI205" s="2"/>
      <c r="DJ205" s="2"/>
      <c r="DK205" s="5"/>
      <c r="DL205" s="2"/>
      <c r="DM205" s="2"/>
      <c r="DN205" s="2"/>
      <c r="DO205" s="2"/>
      <c r="DP205" s="2"/>
      <c r="DQ205" s="2"/>
      <c r="DR205" s="2"/>
      <c r="DS205" s="2"/>
      <c r="DT205" s="2"/>
      <c r="DU205" s="2"/>
      <c r="DV205" s="2"/>
      <c r="DW205" s="2"/>
      <c r="DX205" s="2"/>
      <c r="DY205" s="2"/>
      <c r="DZ205" s="2"/>
      <c r="EA205" s="2"/>
      <c r="EB205" s="2"/>
      <c r="EC205" s="2"/>
      <c r="ED205" s="2"/>
      <c r="EE205" s="2"/>
      <c r="EF205" s="1"/>
      <c r="EG205" s="98"/>
      <c r="EH205" s="98"/>
      <c r="EI205" s="1"/>
      <c r="EJ205" s="1"/>
      <c r="EK205" s="98"/>
      <c r="EL205" s="1"/>
    </row>
    <row r="206" spans="1:142">
      <c r="A206" s="32">
        <f t="shared" si="138"/>
        <v>27945</v>
      </c>
      <c r="B206" s="3" t="str">
        <f t="shared" si="139"/>
        <v>sv_statement//Statement//Export Statement&amp;PDFID=Raymond Cothran_27945&amp;SO=Y</v>
      </c>
      <c r="C206" s="5" t="str">
        <f t="shared" si="180"/>
        <v>Statement</v>
      </c>
      <c r="D206" s="5" t="str">
        <f t="shared" si="140"/>
        <v>Raymond Cothran_27945</v>
      </c>
      <c r="E206" s="5"/>
      <c r="F206" s="5">
        <v>27945</v>
      </c>
      <c r="G206" s="22" t="s">
        <v>511</v>
      </c>
      <c r="H206" s="5" t="s">
        <v>214</v>
      </c>
      <c r="I206" s="5" t="s">
        <v>512</v>
      </c>
      <c r="J206" s="5" t="s">
        <v>152</v>
      </c>
      <c r="K206" s="5" t="s">
        <v>480</v>
      </c>
      <c r="L206" s="31">
        <f t="shared" si="141"/>
        <v>11498</v>
      </c>
      <c r="M206" s="5" t="s">
        <v>197</v>
      </c>
      <c r="N206" s="22" t="s">
        <v>155</v>
      </c>
      <c r="O206" s="100">
        <v>40231</v>
      </c>
      <c r="P206" s="146">
        <f>VLOOKUP(I206,'Job Codes'!$B$2:$I$120,4,FALSE)</f>
        <v>23000</v>
      </c>
      <c r="Q206" s="146">
        <f>VLOOKUP(I206,'Job Codes'!$B$2:$I$120,5,FALSE)</f>
        <v>29900</v>
      </c>
      <c r="R206" s="146">
        <f>VLOOKUP(I206,'Job Codes'!$B$2:$I$120,6,FALSE)</f>
        <v>35880</v>
      </c>
      <c r="S206" s="22" t="s">
        <v>171</v>
      </c>
      <c r="T206" s="146">
        <v>28600</v>
      </c>
      <c r="U206" s="8">
        <f>VLOOKUP(S206,Data!$H$22:$I$25,2,FALSE)*T206</f>
        <v>28600</v>
      </c>
      <c r="V206" s="180">
        <f t="shared" si="142"/>
        <v>0.95652173913043481</v>
      </c>
      <c r="W206" s="180">
        <f t="shared" si="143"/>
        <v>4.5454545454545456E-2</v>
      </c>
      <c r="X206" s="22" t="str">
        <f t="shared" si="144"/>
        <v>No</v>
      </c>
      <c r="Y206" s="180">
        <f t="shared" si="145"/>
        <v>0</v>
      </c>
      <c r="Z206" s="146">
        <f t="shared" si="146"/>
        <v>0</v>
      </c>
      <c r="AA206" s="146">
        <f t="shared" si="147"/>
        <v>0</v>
      </c>
      <c r="AB206" s="72"/>
      <c r="AC206" s="146">
        <f>AB206/VLOOKUP(S206,Data!$H$22:$I$25,2,FALSE)</f>
        <v>0</v>
      </c>
      <c r="AD206" s="22" t="s">
        <v>157</v>
      </c>
      <c r="AE206" s="146">
        <f>VLOOKUP(S206,Data!$H$22:$J$25,3,FALSE)*T206</f>
        <v>858</v>
      </c>
      <c r="AF206" s="8">
        <f>VLOOKUP(S206,Data!$H$22:$I$25,2,FALSE)*AE206</f>
        <v>858</v>
      </c>
      <c r="AG206" s="8" t="s">
        <v>178</v>
      </c>
      <c r="AH206" s="23">
        <v>0.02</v>
      </c>
      <c r="AI206" s="72"/>
      <c r="AJ206" s="159">
        <f t="shared" si="148"/>
        <v>0.02</v>
      </c>
      <c r="AK206" s="168">
        <f t="shared" si="181"/>
        <v>572</v>
      </c>
      <c r="AL206" s="160">
        <f t="shared" si="182"/>
        <v>572</v>
      </c>
      <c r="AM206" s="168">
        <f t="shared" si="149"/>
        <v>29172</v>
      </c>
      <c r="AN206" s="160">
        <f t="shared" si="150"/>
        <v>29172</v>
      </c>
      <c r="AO206" s="160" t="str">
        <f t="shared" si="183"/>
        <v>No</v>
      </c>
      <c r="AP206" s="146">
        <f>IF(AQ206=0,0,AQ206/VLOOKUP(S206,Data!$H$22:$I$25,2,FALSE))</f>
        <v>0</v>
      </c>
      <c r="AQ206" s="183">
        <f t="shared" si="151"/>
        <v>0</v>
      </c>
      <c r="AR206" s="165">
        <f t="shared" si="152"/>
        <v>572</v>
      </c>
      <c r="AS206" s="183">
        <f t="shared" si="153"/>
        <v>572</v>
      </c>
      <c r="AT206" s="250">
        <f t="shared" si="154"/>
        <v>0.02</v>
      </c>
      <c r="AU206" s="146">
        <f t="shared" si="155"/>
        <v>29172</v>
      </c>
      <c r="AV206" s="8">
        <f t="shared" si="156"/>
        <v>29172</v>
      </c>
      <c r="AW206" s="8" t="str">
        <f t="shared" si="157"/>
        <v/>
      </c>
      <c r="AX206" s="180">
        <f t="shared" si="158"/>
        <v>0.97565217391304349</v>
      </c>
      <c r="AY206" s="146">
        <f t="shared" si="159"/>
        <v>0</v>
      </c>
      <c r="AZ206" s="146">
        <f t="shared" si="160"/>
        <v>0</v>
      </c>
      <c r="BA206" s="22" t="s">
        <v>159</v>
      </c>
      <c r="BB206" s="149"/>
      <c r="BC206" s="149"/>
      <c r="BD206" s="144"/>
      <c r="BE206" s="146" t="str">
        <f t="shared" si="161"/>
        <v/>
      </c>
      <c r="BF206" s="8" t="str">
        <f t="shared" si="162"/>
        <v/>
      </c>
      <c r="BG206" s="8" t="str">
        <f>IF(LEN(BC206)&gt;0,VLOOKUP(BC206,'Job Codes'!B199:I317,7,FALSE),"")</f>
        <v/>
      </c>
      <c r="BH206" s="192" t="str">
        <f>IF(LEN(BC206)&gt;0,VLOOKUP(BC206,'Job Codes'!B199:I317,8,FALSE),"")</f>
        <v/>
      </c>
      <c r="BI206" s="192" t="str">
        <f>IF(LEN(BC206)&gt;0,VLOOKUP(BC206,'Job Codes'!$B$2:$J$120,9,FALSE),"")</f>
        <v/>
      </c>
      <c r="BJ206" s="146" t="str">
        <f>IF(LEN(BC206)&gt;0,VLOOKUP(BC206,'Job Codes'!$B$2:$I$120,4,FALSE),"")</f>
        <v/>
      </c>
      <c r="BK206" s="146" t="str">
        <f>IF(LEN(BC206)&gt;0,VLOOKUP(BC206,'Job Codes'!$B$2:$I$120,5,FALSE),"")</f>
        <v/>
      </c>
      <c r="BL206" s="146" t="str">
        <f>IF(LEN(BC206)&gt;0,VLOOKUP(BC206,'Job Codes'!$B$2:$I$120,6,FALSE),"")</f>
        <v/>
      </c>
      <c r="BM206" s="168">
        <f t="shared" si="163"/>
        <v>29172</v>
      </c>
      <c r="BN206" s="160">
        <f t="shared" si="164"/>
        <v>29172</v>
      </c>
      <c r="BO206" s="22" t="s">
        <v>159</v>
      </c>
      <c r="BP206" s="157">
        <f>VLOOKUP(I206,'Job Codes'!$B$2:$I$120,8,FALSE)</f>
        <v>0</v>
      </c>
      <c r="BQ206" s="25" t="str">
        <f>IF(O206&gt;Data!$H$33,"Yes","No")</f>
        <v>No</v>
      </c>
      <c r="BR206" s="191">
        <v>0</v>
      </c>
      <c r="BS206" s="150">
        <f t="shared" si="165"/>
        <v>0</v>
      </c>
      <c r="BT206" s="25">
        <f t="shared" si="166"/>
        <v>0</v>
      </c>
      <c r="BU206" s="161">
        <v>1</v>
      </c>
      <c r="BV206" s="168">
        <f t="shared" si="167"/>
        <v>0</v>
      </c>
      <c r="BW206" s="160">
        <f t="shared" si="168"/>
        <v>0</v>
      </c>
      <c r="BX206" s="149"/>
      <c r="BY206" s="32">
        <f t="shared" si="169"/>
        <v>0</v>
      </c>
      <c r="BZ206" s="22" t="s">
        <v>159</v>
      </c>
      <c r="CA206" s="231">
        <f>VLOOKUP(I206,'Job Codes'!$B$2:$J$120,9,FALSE)</f>
        <v>0</v>
      </c>
      <c r="CB206" s="253">
        <f t="shared" si="170"/>
        <v>0</v>
      </c>
      <c r="CC206" s="72"/>
      <c r="CD206" s="25" t="str">
        <f t="shared" si="171"/>
        <v>Meets</v>
      </c>
      <c r="CE206" s="27"/>
      <c r="CF206" s="27"/>
      <c r="CG206" s="27"/>
      <c r="CH206" s="27"/>
      <c r="CI206" s="27"/>
      <c r="CJ206" s="3">
        <v>20714</v>
      </c>
      <c r="CK206" s="3" t="s">
        <v>198</v>
      </c>
      <c r="CL206" s="3">
        <v>4569</v>
      </c>
      <c r="CM206" s="3" t="s">
        <v>161</v>
      </c>
      <c r="CN206" s="3">
        <v>4571</v>
      </c>
      <c r="CO206" s="3" t="s">
        <v>162</v>
      </c>
      <c r="CP206" s="3">
        <v>12345</v>
      </c>
      <c r="CQ206" s="3" t="s">
        <v>163</v>
      </c>
      <c r="CR206" s="246" t="s">
        <v>166</v>
      </c>
      <c r="CS206" s="247" t="s">
        <v>167</v>
      </c>
      <c r="CT206" s="246" t="s">
        <v>199</v>
      </c>
      <c r="CU206" s="247" t="s">
        <v>200</v>
      </c>
      <c r="CV206" s="3" t="str">
        <f t="shared" si="172"/>
        <v>99485;36523</v>
      </c>
      <c r="CW206" s="3" t="s">
        <v>168</v>
      </c>
      <c r="CX206" s="3" t="str">
        <f t="shared" si="173"/>
        <v>AB206;;BB206:BD206;BU206;BX206</v>
      </c>
      <c r="CY206" s="5" t="str">
        <f t="shared" si="174"/>
        <v>Unlock</v>
      </c>
      <c r="CZ206" s="5" t="str">
        <f t="shared" si="175"/>
        <v>Lock</v>
      </c>
      <c r="DA206" s="5" t="str">
        <f t="shared" si="176"/>
        <v>Lock</v>
      </c>
      <c r="DB206" s="5" t="str">
        <f t="shared" si="177"/>
        <v>Lock</v>
      </c>
      <c r="DC206" s="5" t="str">
        <f t="shared" si="178"/>
        <v>Lock</v>
      </c>
      <c r="DD206" s="78">
        <f t="shared" si="179"/>
        <v>2</v>
      </c>
      <c r="DE206" s="2"/>
      <c r="DF206" s="2"/>
      <c r="DG206" s="2"/>
      <c r="DH206" s="2"/>
      <c r="DI206" s="2"/>
      <c r="DJ206" s="2"/>
      <c r="DK206" s="5"/>
      <c r="DL206" s="2"/>
      <c r="DM206" s="2"/>
      <c r="DN206" s="2"/>
      <c r="DO206" s="2"/>
      <c r="DP206" s="2"/>
      <c r="DQ206" s="2"/>
      <c r="DR206" s="2"/>
      <c r="DS206" s="2"/>
      <c r="DT206" s="2"/>
      <c r="DU206" s="2"/>
      <c r="DV206" s="2"/>
      <c r="DW206" s="2"/>
      <c r="DX206" s="2"/>
      <c r="DY206" s="2"/>
      <c r="DZ206" s="2"/>
      <c r="EA206" s="2"/>
      <c r="EB206" s="2"/>
      <c r="EC206" s="2"/>
      <c r="ED206" s="2"/>
      <c r="EE206" s="2"/>
      <c r="EF206" s="1"/>
      <c r="EG206" s="98"/>
      <c r="EH206" s="98"/>
      <c r="EI206" s="1"/>
      <c r="EJ206" s="1"/>
      <c r="EK206" s="98"/>
      <c r="EL206" s="1"/>
    </row>
    <row r="207" spans="1:142">
      <c r="A207" s="32">
        <f t="shared" si="138"/>
        <v>27950</v>
      </c>
      <c r="B207" s="3" t="str">
        <f t="shared" si="139"/>
        <v>sv_statement//Statement//Export Statement&amp;PDFID=Lydia Pepin_27950&amp;SO=Y</v>
      </c>
      <c r="C207" s="5" t="str">
        <f t="shared" si="180"/>
        <v>Statement</v>
      </c>
      <c r="D207" s="5" t="str">
        <f t="shared" si="140"/>
        <v>Lydia Pepin_27950</v>
      </c>
      <c r="E207" s="5"/>
      <c r="F207" s="5">
        <v>27950</v>
      </c>
      <c r="G207" s="22" t="s">
        <v>513</v>
      </c>
      <c r="H207" s="5" t="s">
        <v>214</v>
      </c>
      <c r="I207" s="5" t="s">
        <v>514</v>
      </c>
      <c r="J207" s="5" t="s">
        <v>152</v>
      </c>
      <c r="K207" s="5" t="s">
        <v>480</v>
      </c>
      <c r="L207" s="31">
        <f t="shared" si="141"/>
        <v>11498</v>
      </c>
      <c r="M207" s="5" t="s">
        <v>197</v>
      </c>
      <c r="N207" s="22" t="s">
        <v>155</v>
      </c>
      <c r="O207" s="100">
        <v>40231</v>
      </c>
      <c r="P207" s="146">
        <f>VLOOKUP(I207,'Job Codes'!$B$2:$I$120,4,FALSE)</f>
        <v>23000</v>
      </c>
      <c r="Q207" s="146">
        <f>VLOOKUP(I207,'Job Codes'!$B$2:$I$120,5,FALSE)</f>
        <v>29900</v>
      </c>
      <c r="R207" s="146">
        <f>VLOOKUP(I207,'Job Codes'!$B$2:$I$120,6,FALSE)</f>
        <v>35880</v>
      </c>
      <c r="S207" s="22" t="s">
        <v>171</v>
      </c>
      <c r="T207" s="146">
        <v>28600</v>
      </c>
      <c r="U207" s="8">
        <f>VLOOKUP(S207,Data!$H$22:$I$25,2,FALSE)*T207</f>
        <v>28600</v>
      </c>
      <c r="V207" s="180">
        <f t="shared" si="142"/>
        <v>0.95652173913043481</v>
      </c>
      <c r="W207" s="180">
        <f t="shared" si="143"/>
        <v>4.5454545454545456E-2</v>
      </c>
      <c r="X207" s="22" t="str">
        <f t="shared" si="144"/>
        <v>No</v>
      </c>
      <c r="Y207" s="180">
        <f t="shared" si="145"/>
        <v>0</v>
      </c>
      <c r="Z207" s="146">
        <f t="shared" si="146"/>
        <v>0</v>
      </c>
      <c r="AA207" s="146">
        <f t="shared" si="147"/>
        <v>0</v>
      </c>
      <c r="AB207" s="72"/>
      <c r="AC207" s="146">
        <f>AB207/VLOOKUP(S207,Data!$H$22:$I$25,2,FALSE)</f>
        <v>0</v>
      </c>
      <c r="AD207" s="22" t="s">
        <v>157</v>
      </c>
      <c r="AE207" s="146">
        <f>VLOOKUP(S207,Data!$H$22:$J$25,3,FALSE)*T207</f>
        <v>858</v>
      </c>
      <c r="AF207" s="8">
        <f>VLOOKUP(S207,Data!$H$22:$I$25,2,FALSE)*AE207</f>
        <v>858</v>
      </c>
      <c r="AG207" s="8" t="s">
        <v>178</v>
      </c>
      <c r="AH207" s="23">
        <v>0.02</v>
      </c>
      <c r="AI207" s="72"/>
      <c r="AJ207" s="159">
        <f t="shared" si="148"/>
        <v>0.02</v>
      </c>
      <c r="AK207" s="168">
        <f t="shared" si="181"/>
        <v>572</v>
      </c>
      <c r="AL207" s="160">
        <f t="shared" si="182"/>
        <v>572</v>
      </c>
      <c r="AM207" s="168">
        <f t="shared" si="149"/>
        <v>29172</v>
      </c>
      <c r="AN207" s="160">
        <f t="shared" si="150"/>
        <v>29172</v>
      </c>
      <c r="AO207" s="160" t="str">
        <f t="shared" si="183"/>
        <v>No</v>
      </c>
      <c r="AP207" s="146">
        <f>IF(AQ207=0,0,AQ207/VLOOKUP(S207,Data!$H$22:$I$25,2,FALSE))</f>
        <v>0</v>
      </c>
      <c r="AQ207" s="183">
        <f t="shared" si="151"/>
        <v>0</v>
      </c>
      <c r="AR207" s="165">
        <f t="shared" si="152"/>
        <v>572</v>
      </c>
      <c r="AS207" s="183">
        <f t="shared" si="153"/>
        <v>572</v>
      </c>
      <c r="AT207" s="250">
        <f t="shared" si="154"/>
        <v>0.02</v>
      </c>
      <c r="AU207" s="146">
        <f t="shared" si="155"/>
        <v>29172</v>
      </c>
      <c r="AV207" s="8">
        <f t="shared" si="156"/>
        <v>29172</v>
      </c>
      <c r="AW207" s="8" t="str">
        <f t="shared" si="157"/>
        <v/>
      </c>
      <c r="AX207" s="180">
        <f t="shared" si="158"/>
        <v>0.97565217391304349</v>
      </c>
      <c r="AY207" s="146">
        <f t="shared" si="159"/>
        <v>0</v>
      </c>
      <c r="AZ207" s="146">
        <f t="shared" si="160"/>
        <v>0</v>
      </c>
      <c r="BA207" s="22" t="s">
        <v>159</v>
      </c>
      <c r="BB207" s="149"/>
      <c r="BC207" s="149"/>
      <c r="BD207" s="144"/>
      <c r="BE207" s="146" t="str">
        <f t="shared" si="161"/>
        <v/>
      </c>
      <c r="BF207" s="8" t="str">
        <f t="shared" si="162"/>
        <v/>
      </c>
      <c r="BG207" s="8" t="str">
        <f>IF(LEN(BC207)&gt;0,VLOOKUP(BC207,'Job Codes'!B200:I318,7,FALSE),"")</f>
        <v/>
      </c>
      <c r="BH207" s="192" t="str">
        <f>IF(LEN(BC207)&gt;0,VLOOKUP(BC207,'Job Codes'!B200:I318,8,FALSE),"")</f>
        <v/>
      </c>
      <c r="BI207" s="192" t="str">
        <f>IF(LEN(BC207)&gt;0,VLOOKUP(BC207,'Job Codes'!$B$2:$J$120,9,FALSE),"")</f>
        <v/>
      </c>
      <c r="BJ207" s="146" t="str">
        <f>IF(LEN(BC207)&gt;0,VLOOKUP(BC207,'Job Codes'!$B$2:$I$120,4,FALSE),"")</f>
        <v/>
      </c>
      <c r="BK207" s="146" t="str">
        <f>IF(LEN(BC207)&gt;0,VLOOKUP(BC207,'Job Codes'!$B$2:$I$120,5,FALSE),"")</f>
        <v/>
      </c>
      <c r="BL207" s="146" t="str">
        <f>IF(LEN(BC207)&gt;0,VLOOKUP(BC207,'Job Codes'!$B$2:$I$120,6,FALSE),"")</f>
        <v/>
      </c>
      <c r="BM207" s="168">
        <f t="shared" si="163"/>
        <v>29172</v>
      </c>
      <c r="BN207" s="160">
        <f t="shared" si="164"/>
        <v>29172</v>
      </c>
      <c r="BO207" s="22" t="s">
        <v>159</v>
      </c>
      <c r="BP207" s="157">
        <f>VLOOKUP(I207,'Job Codes'!$B$2:$I$120,8,FALSE)</f>
        <v>0</v>
      </c>
      <c r="BQ207" s="25" t="str">
        <f>IF(O207&gt;Data!$H$33,"Yes","No")</f>
        <v>No</v>
      </c>
      <c r="BR207" s="191">
        <v>0</v>
      </c>
      <c r="BS207" s="150">
        <f t="shared" si="165"/>
        <v>0</v>
      </c>
      <c r="BT207" s="25">
        <f t="shared" si="166"/>
        <v>0</v>
      </c>
      <c r="BU207" s="161">
        <v>1</v>
      </c>
      <c r="BV207" s="168">
        <f t="shared" si="167"/>
        <v>0</v>
      </c>
      <c r="BW207" s="160">
        <f t="shared" si="168"/>
        <v>0</v>
      </c>
      <c r="BX207" s="149"/>
      <c r="BY207" s="32">
        <f t="shared" si="169"/>
        <v>0</v>
      </c>
      <c r="BZ207" s="22" t="s">
        <v>159</v>
      </c>
      <c r="CA207" s="231">
        <f>VLOOKUP(I207,'Job Codes'!$B$2:$J$120,9,FALSE)</f>
        <v>0</v>
      </c>
      <c r="CB207" s="253">
        <f t="shared" si="170"/>
        <v>0</v>
      </c>
      <c r="CC207" s="72"/>
      <c r="CD207" s="25" t="str">
        <f t="shared" si="171"/>
        <v>Meets</v>
      </c>
      <c r="CE207" s="27"/>
      <c r="CF207" s="27"/>
      <c r="CG207" s="27"/>
      <c r="CH207" s="27"/>
      <c r="CI207" s="27"/>
      <c r="CJ207" s="3">
        <v>20714</v>
      </c>
      <c r="CK207" s="3" t="s">
        <v>198</v>
      </c>
      <c r="CL207" s="3">
        <v>4569</v>
      </c>
      <c r="CM207" s="3" t="s">
        <v>161</v>
      </c>
      <c r="CN207" s="3">
        <v>4571</v>
      </c>
      <c r="CO207" s="3" t="s">
        <v>162</v>
      </c>
      <c r="CP207" s="3">
        <v>12345</v>
      </c>
      <c r="CQ207" s="3" t="s">
        <v>163</v>
      </c>
      <c r="CR207" s="246" t="s">
        <v>166</v>
      </c>
      <c r="CS207" s="247" t="s">
        <v>167</v>
      </c>
      <c r="CT207" s="246" t="s">
        <v>199</v>
      </c>
      <c r="CU207" s="247" t="s">
        <v>200</v>
      </c>
      <c r="CV207" s="3" t="str">
        <f t="shared" si="172"/>
        <v>99485;36523</v>
      </c>
      <c r="CW207" s="3" t="s">
        <v>168</v>
      </c>
      <c r="CX207" s="3" t="str">
        <f t="shared" si="173"/>
        <v>AB207;;BB207:BD207;BU207;BX207</v>
      </c>
      <c r="CY207" s="5" t="str">
        <f t="shared" si="174"/>
        <v>Unlock</v>
      </c>
      <c r="CZ207" s="5" t="str">
        <f t="shared" si="175"/>
        <v>Lock</v>
      </c>
      <c r="DA207" s="5" t="str">
        <f t="shared" si="176"/>
        <v>Lock</v>
      </c>
      <c r="DB207" s="5" t="str">
        <f t="shared" si="177"/>
        <v>Lock</v>
      </c>
      <c r="DC207" s="5" t="str">
        <f t="shared" si="178"/>
        <v>Lock</v>
      </c>
      <c r="DD207" s="78">
        <f t="shared" si="179"/>
        <v>2</v>
      </c>
      <c r="DE207" s="2"/>
      <c r="DF207" s="2"/>
      <c r="DG207" s="2"/>
      <c r="DH207" s="2"/>
      <c r="DI207" s="2"/>
      <c r="DJ207" s="2"/>
      <c r="DK207" s="5"/>
      <c r="DL207" s="2"/>
      <c r="DM207" s="2"/>
      <c r="DN207" s="2"/>
      <c r="DO207" s="2"/>
      <c r="DP207" s="2"/>
      <c r="DQ207" s="2"/>
      <c r="DR207" s="2"/>
      <c r="DS207" s="2"/>
      <c r="DT207" s="2"/>
      <c r="DU207" s="2"/>
      <c r="DV207" s="2"/>
      <c r="DW207" s="2"/>
      <c r="DX207" s="2"/>
      <c r="DY207" s="2"/>
      <c r="DZ207" s="2"/>
      <c r="EA207" s="2"/>
      <c r="EB207" s="2"/>
      <c r="EC207" s="2"/>
      <c r="ED207" s="2"/>
      <c r="EE207" s="2"/>
      <c r="EF207" s="1"/>
      <c r="EG207" s="98"/>
      <c r="EH207" s="98"/>
      <c r="EI207" s="1"/>
      <c r="EJ207" s="1"/>
      <c r="EK207" s="98"/>
      <c r="EL207" s="1"/>
    </row>
    <row r="208" spans="1:142">
      <c r="A208" s="32">
        <f t="shared" si="138"/>
        <v>28014</v>
      </c>
      <c r="B208" s="3" t="str">
        <f t="shared" si="139"/>
        <v>sv_statement//Statement//Export Statement&amp;PDFID=Terry Hair_28014&amp;SO=Y</v>
      </c>
      <c r="C208" s="5" t="str">
        <f t="shared" si="180"/>
        <v>Statement</v>
      </c>
      <c r="D208" s="5" t="str">
        <f t="shared" si="140"/>
        <v>Terry Hair_28014</v>
      </c>
      <c r="E208" s="5"/>
      <c r="F208" s="5">
        <v>28014</v>
      </c>
      <c r="G208" s="22" t="s">
        <v>515</v>
      </c>
      <c r="H208" s="5" t="s">
        <v>214</v>
      </c>
      <c r="I208" s="5" t="s">
        <v>388</v>
      </c>
      <c r="J208" s="5" t="s">
        <v>152</v>
      </c>
      <c r="K208" s="5" t="s">
        <v>480</v>
      </c>
      <c r="L208" s="31">
        <f t="shared" si="141"/>
        <v>11498</v>
      </c>
      <c r="M208" s="5" t="s">
        <v>197</v>
      </c>
      <c r="N208" s="22" t="s">
        <v>155</v>
      </c>
      <c r="O208" s="100">
        <v>40231</v>
      </c>
      <c r="P208" s="146">
        <f>VLOOKUP(I208,'Job Codes'!$B$2:$I$120,4,FALSE)</f>
        <v>29000</v>
      </c>
      <c r="Q208" s="146">
        <f>VLOOKUP(I208,'Job Codes'!$B$2:$I$120,5,FALSE)</f>
        <v>37700</v>
      </c>
      <c r="R208" s="146">
        <f>VLOOKUP(I208,'Job Codes'!$B$2:$I$120,6,FALSE)</f>
        <v>45240</v>
      </c>
      <c r="S208" s="22" t="s">
        <v>171</v>
      </c>
      <c r="T208" s="146">
        <v>26000</v>
      </c>
      <c r="U208" s="8">
        <f>VLOOKUP(S208,Data!$H$22:$I$25,2,FALSE)*T208</f>
        <v>26000</v>
      </c>
      <c r="V208" s="180">
        <f t="shared" si="142"/>
        <v>0.68965517241379315</v>
      </c>
      <c r="W208" s="180">
        <f t="shared" si="143"/>
        <v>0.45</v>
      </c>
      <c r="X208" s="22" t="str">
        <f t="shared" si="144"/>
        <v>Yes</v>
      </c>
      <c r="Y208" s="180">
        <f t="shared" si="145"/>
        <v>0.02</v>
      </c>
      <c r="Z208" s="146">
        <f t="shared" si="146"/>
        <v>520</v>
      </c>
      <c r="AA208" s="146">
        <f t="shared" si="147"/>
        <v>520</v>
      </c>
      <c r="AB208" s="72"/>
      <c r="AC208" s="146">
        <f>AB208/VLOOKUP(S208,Data!$H$22:$I$25,2,FALSE)</f>
        <v>0</v>
      </c>
      <c r="AD208" s="22" t="s">
        <v>157</v>
      </c>
      <c r="AE208" s="146">
        <f>VLOOKUP(S208,Data!$H$22:$J$25,3,FALSE)*T208</f>
        <v>780</v>
      </c>
      <c r="AF208" s="8">
        <f>VLOOKUP(S208,Data!$H$22:$I$25,2,FALSE)*AE208</f>
        <v>780</v>
      </c>
      <c r="AG208" s="8" t="s">
        <v>178</v>
      </c>
      <c r="AH208" s="23">
        <v>1.4999999999999999E-2</v>
      </c>
      <c r="AI208" s="72"/>
      <c r="AJ208" s="159">
        <f t="shared" si="148"/>
        <v>1.4999999999999999E-2</v>
      </c>
      <c r="AK208" s="168">
        <f t="shared" si="181"/>
        <v>390</v>
      </c>
      <c r="AL208" s="160">
        <f t="shared" si="182"/>
        <v>390</v>
      </c>
      <c r="AM208" s="168">
        <f t="shared" si="149"/>
        <v>26390</v>
      </c>
      <c r="AN208" s="160">
        <f t="shared" si="150"/>
        <v>26390</v>
      </c>
      <c r="AO208" s="160" t="str">
        <f t="shared" si="183"/>
        <v>No</v>
      </c>
      <c r="AP208" s="146">
        <f>IF(AQ208=0,0,AQ208/VLOOKUP(S208,Data!$H$22:$I$25,2,FALSE))</f>
        <v>0</v>
      </c>
      <c r="AQ208" s="183">
        <f t="shared" si="151"/>
        <v>0</v>
      </c>
      <c r="AR208" s="165">
        <f t="shared" si="152"/>
        <v>390</v>
      </c>
      <c r="AS208" s="183">
        <f t="shared" si="153"/>
        <v>390</v>
      </c>
      <c r="AT208" s="250">
        <f t="shared" si="154"/>
        <v>1.4999999999999999E-2</v>
      </c>
      <c r="AU208" s="146">
        <f t="shared" si="155"/>
        <v>26390</v>
      </c>
      <c r="AV208" s="8">
        <f t="shared" si="156"/>
        <v>26390</v>
      </c>
      <c r="AW208" s="8" t="str">
        <f t="shared" si="157"/>
        <v/>
      </c>
      <c r="AX208" s="180">
        <f t="shared" si="158"/>
        <v>0.7</v>
      </c>
      <c r="AY208" s="146">
        <f t="shared" si="159"/>
        <v>0</v>
      </c>
      <c r="AZ208" s="146">
        <f t="shared" si="160"/>
        <v>0</v>
      </c>
      <c r="BA208" s="22" t="s">
        <v>159</v>
      </c>
      <c r="BB208" s="149"/>
      <c r="BC208" s="149"/>
      <c r="BD208" s="144"/>
      <c r="BE208" s="146" t="str">
        <f t="shared" si="161"/>
        <v/>
      </c>
      <c r="BF208" s="8" t="str">
        <f t="shared" si="162"/>
        <v/>
      </c>
      <c r="BG208" s="8" t="str">
        <f>IF(LEN(BC208)&gt;0,VLOOKUP(BC208,'Job Codes'!B201:I319,7,FALSE),"")</f>
        <v/>
      </c>
      <c r="BH208" s="192" t="str">
        <f>IF(LEN(BC208)&gt;0,VLOOKUP(BC208,'Job Codes'!B201:I319,8,FALSE),"")</f>
        <v/>
      </c>
      <c r="BI208" s="192" t="str">
        <f>IF(LEN(BC208)&gt;0,VLOOKUP(BC208,'Job Codes'!$B$2:$J$120,9,FALSE),"")</f>
        <v/>
      </c>
      <c r="BJ208" s="146" t="str">
        <f>IF(LEN(BC208)&gt;0,VLOOKUP(BC208,'Job Codes'!$B$2:$I$120,4,FALSE),"")</f>
        <v/>
      </c>
      <c r="BK208" s="146" t="str">
        <f>IF(LEN(BC208)&gt;0,VLOOKUP(BC208,'Job Codes'!$B$2:$I$120,5,FALSE),"")</f>
        <v/>
      </c>
      <c r="BL208" s="146" t="str">
        <f>IF(LEN(BC208)&gt;0,VLOOKUP(BC208,'Job Codes'!$B$2:$I$120,6,FALSE),"")</f>
        <v/>
      </c>
      <c r="BM208" s="168">
        <f t="shared" si="163"/>
        <v>26390</v>
      </c>
      <c r="BN208" s="160">
        <f t="shared" si="164"/>
        <v>26390</v>
      </c>
      <c r="BO208" s="22" t="s">
        <v>157</v>
      </c>
      <c r="BP208" s="157">
        <f>VLOOKUP(I208,'Job Codes'!$B$2:$I$120,8,FALSE)</f>
        <v>0.1</v>
      </c>
      <c r="BQ208" s="25" t="str">
        <f>IF(O208&gt;Data!$H$33,"Yes","No")</f>
        <v>No</v>
      </c>
      <c r="BR208" s="191">
        <v>0.1</v>
      </c>
      <c r="BS208" s="150">
        <f t="shared" si="165"/>
        <v>2600</v>
      </c>
      <c r="BT208" s="25">
        <f t="shared" si="166"/>
        <v>2600</v>
      </c>
      <c r="BU208" s="161">
        <v>1</v>
      </c>
      <c r="BV208" s="168">
        <f t="shared" si="167"/>
        <v>2600</v>
      </c>
      <c r="BW208" s="160">
        <f t="shared" si="168"/>
        <v>2600</v>
      </c>
      <c r="BX208" s="149"/>
      <c r="BY208" s="32">
        <f t="shared" si="169"/>
        <v>0</v>
      </c>
      <c r="BZ208" s="22" t="s">
        <v>157</v>
      </c>
      <c r="CA208" s="231">
        <f>VLOOKUP(I208,'Job Codes'!$B$2:$J$120,9,FALSE)</f>
        <v>0.05</v>
      </c>
      <c r="CB208" s="253">
        <f t="shared" si="170"/>
        <v>1300</v>
      </c>
      <c r="CC208" s="72"/>
      <c r="CD208" s="25" t="str">
        <f t="shared" si="171"/>
        <v>Meets</v>
      </c>
      <c r="CE208" s="27"/>
      <c r="CF208" s="27"/>
      <c r="CG208" s="27"/>
      <c r="CH208" s="27"/>
      <c r="CI208" s="27"/>
      <c r="CJ208" s="3">
        <v>20714</v>
      </c>
      <c r="CK208" s="3" t="s">
        <v>198</v>
      </c>
      <c r="CL208" s="3">
        <v>4569</v>
      </c>
      <c r="CM208" s="3" t="s">
        <v>161</v>
      </c>
      <c r="CN208" s="3">
        <v>4571</v>
      </c>
      <c r="CO208" s="3" t="s">
        <v>162</v>
      </c>
      <c r="CP208" s="3">
        <v>12345</v>
      </c>
      <c r="CQ208" s="3" t="s">
        <v>163</v>
      </c>
      <c r="CR208" s="246" t="s">
        <v>166</v>
      </c>
      <c r="CS208" s="247" t="s">
        <v>167</v>
      </c>
      <c r="CT208" s="246" t="s">
        <v>199</v>
      </c>
      <c r="CU208" s="247" t="s">
        <v>200</v>
      </c>
      <c r="CV208" s="3" t="str">
        <f t="shared" si="172"/>
        <v>99485;36523</v>
      </c>
      <c r="CW208" s="3" t="s">
        <v>168</v>
      </c>
      <c r="CX208" s="3" t="str">
        <f t="shared" si="173"/>
        <v>;;BB208:BD208;;</v>
      </c>
      <c r="CY208" s="5" t="str">
        <f t="shared" si="174"/>
        <v>Unlock</v>
      </c>
      <c r="CZ208" s="5" t="str">
        <f t="shared" si="175"/>
        <v>Lock</v>
      </c>
      <c r="DA208" s="5" t="str">
        <f t="shared" si="176"/>
        <v>Lock</v>
      </c>
      <c r="DB208" s="5" t="str">
        <f t="shared" si="177"/>
        <v>Lock</v>
      </c>
      <c r="DC208" s="5" t="str">
        <f t="shared" si="178"/>
        <v>Lock</v>
      </c>
      <c r="DD208" s="78">
        <f t="shared" si="179"/>
        <v>2</v>
      </c>
      <c r="DE208" s="2"/>
      <c r="DF208" s="2"/>
      <c r="DG208" s="2"/>
      <c r="DH208" s="2"/>
      <c r="DI208" s="2"/>
      <c r="DJ208" s="2"/>
      <c r="DK208" s="5"/>
      <c r="DL208" s="2"/>
      <c r="DM208" s="2"/>
      <c r="DN208" s="2"/>
      <c r="DO208" s="2"/>
      <c r="DP208" s="2"/>
      <c r="DQ208" s="2"/>
      <c r="DR208" s="2"/>
      <c r="DS208" s="2"/>
      <c r="DT208" s="2"/>
      <c r="DU208" s="2"/>
      <c r="DV208" s="2"/>
      <c r="DW208" s="2"/>
      <c r="DX208" s="2"/>
      <c r="DY208" s="2"/>
      <c r="DZ208" s="2"/>
      <c r="EA208" s="2"/>
      <c r="EB208" s="2"/>
      <c r="EC208" s="2"/>
      <c r="ED208" s="2"/>
      <c r="EE208" s="2"/>
      <c r="EF208" s="1"/>
      <c r="EG208" s="98"/>
      <c r="EH208" s="98"/>
      <c r="EI208" s="1"/>
      <c r="EJ208" s="1"/>
      <c r="EK208" s="98"/>
      <c r="EL208" s="1"/>
    </row>
    <row r="209" spans="1:142">
      <c r="A209" s="32">
        <f t="shared" si="138"/>
        <v>28178</v>
      </c>
      <c r="B209" s="3" t="str">
        <f t="shared" si="139"/>
        <v>sv_statement//Statement//Export Statement&amp;PDFID=Maxine Lehmann_28178&amp;SO=Y</v>
      </c>
      <c r="C209" s="5" t="str">
        <f t="shared" si="180"/>
        <v>Statement</v>
      </c>
      <c r="D209" s="5" t="str">
        <f t="shared" si="140"/>
        <v>Maxine Lehmann_28178</v>
      </c>
      <c r="E209" s="5"/>
      <c r="F209" s="5">
        <v>28178</v>
      </c>
      <c r="G209" s="22" t="s">
        <v>516</v>
      </c>
      <c r="H209" s="5" t="s">
        <v>367</v>
      </c>
      <c r="I209" s="5" t="s">
        <v>394</v>
      </c>
      <c r="J209" s="5" t="s">
        <v>152</v>
      </c>
      <c r="K209" s="5" t="s">
        <v>480</v>
      </c>
      <c r="L209" s="31">
        <f t="shared" si="141"/>
        <v>29342</v>
      </c>
      <c r="M209" s="5" t="s">
        <v>254</v>
      </c>
      <c r="N209" s="22" t="s">
        <v>155</v>
      </c>
      <c r="O209" s="100">
        <v>40238</v>
      </c>
      <c r="P209" s="146">
        <f>VLOOKUP(I209,'Job Codes'!$B$2:$I$120,4,FALSE)</f>
        <v>33000</v>
      </c>
      <c r="Q209" s="146">
        <f>VLOOKUP(I209,'Job Codes'!$B$2:$I$120,5,FALSE)</f>
        <v>42900</v>
      </c>
      <c r="R209" s="146">
        <f>VLOOKUP(I209,'Job Codes'!$B$2:$I$120,6,FALSE)</f>
        <v>51480</v>
      </c>
      <c r="S209" s="22" t="s">
        <v>171</v>
      </c>
      <c r="T209" s="146">
        <v>28600</v>
      </c>
      <c r="U209" s="8">
        <f>VLOOKUP(S209,Data!$H$22:$I$25,2,FALSE)*T209</f>
        <v>28600</v>
      </c>
      <c r="V209" s="180">
        <f t="shared" si="142"/>
        <v>0.66666666666666663</v>
      </c>
      <c r="W209" s="180">
        <f t="shared" si="143"/>
        <v>0.5</v>
      </c>
      <c r="X209" s="22" t="str">
        <f t="shared" si="144"/>
        <v>Yes</v>
      </c>
      <c r="Y209" s="180">
        <f t="shared" si="145"/>
        <v>0.02</v>
      </c>
      <c r="Z209" s="146">
        <f t="shared" si="146"/>
        <v>572</v>
      </c>
      <c r="AA209" s="146">
        <f t="shared" si="147"/>
        <v>572</v>
      </c>
      <c r="AB209" s="72"/>
      <c r="AC209" s="146">
        <f>AB209/VLOOKUP(S209,Data!$H$22:$I$25,2,FALSE)</f>
        <v>0</v>
      </c>
      <c r="AD209" s="22" t="s">
        <v>157</v>
      </c>
      <c r="AE209" s="146">
        <f>VLOOKUP(S209,Data!$H$22:$J$25,3,FALSE)*T209</f>
        <v>858</v>
      </c>
      <c r="AF209" s="8">
        <f>VLOOKUP(S209,Data!$H$22:$I$25,2,FALSE)*AE209</f>
        <v>858</v>
      </c>
      <c r="AG209" s="8" t="s">
        <v>158</v>
      </c>
      <c r="AH209" s="23">
        <v>0.05</v>
      </c>
      <c r="AI209" s="72"/>
      <c r="AJ209" s="159">
        <f t="shared" si="148"/>
        <v>0.05</v>
      </c>
      <c r="AK209" s="168">
        <f t="shared" si="181"/>
        <v>1430</v>
      </c>
      <c r="AL209" s="160">
        <f t="shared" si="182"/>
        <v>1430</v>
      </c>
      <c r="AM209" s="168">
        <f t="shared" si="149"/>
        <v>30030</v>
      </c>
      <c r="AN209" s="160">
        <f t="shared" si="150"/>
        <v>30030</v>
      </c>
      <c r="AO209" s="160" t="str">
        <f t="shared" si="183"/>
        <v>No</v>
      </c>
      <c r="AP209" s="146">
        <f>IF(AQ209=0,0,AQ209/VLOOKUP(S209,Data!$H$22:$I$25,2,FALSE))</f>
        <v>0</v>
      </c>
      <c r="AQ209" s="183">
        <f t="shared" si="151"/>
        <v>0</v>
      </c>
      <c r="AR209" s="165">
        <f t="shared" si="152"/>
        <v>1430</v>
      </c>
      <c r="AS209" s="183">
        <f t="shared" si="153"/>
        <v>1430</v>
      </c>
      <c r="AT209" s="250">
        <f t="shared" si="154"/>
        <v>0.05</v>
      </c>
      <c r="AU209" s="146">
        <f t="shared" si="155"/>
        <v>30030</v>
      </c>
      <c r="AV209" s="8">
        <f t="shared" si="156"/>
        <v>30030</v>
      </c>
      <c r="AW209" s="8" t="str">
        <f t="shared" si="157"/>
        <v/>
      </c>
      <c r="AX209" s="180">
        <f t="shared" si="158"/>
        <v>0.7</v>
      </c>
      <c r="AY209" s="146">
        <f t="shared" si="159"/>
        <v>0</v>
      </c>
      <c r="AZ209" s="146">
        <f t="shared" si="160"/>
        <v>0</v>
      </c>
      <c r="BA209" s="22" t="s">
        <v>159</v>
      </c>
      <c r="BB209" s="149"/>
      <c r="BC209" s="149"/>
      <c r="BD209" s="144"/>
      <c r="BE209" s="146" t="str">
        <f t="shared" si="161"/>
        <v/>
      </c>
      <c r="BF209" s="8" t="str">
        <f t="shared" si="162"/>
        <v/>
      </c>
      <c r="BG209" s="8" t="str">
        <f>IF(LEN(BC209)&gt;0,VLOOKUP(BC209,'Job Codes'!B202:I320,7,FALSE),"")</f>
        <v/>
      </c>
      <c r="BH209" s="192" t="str">
        <f>IF(LEN(BC209)&gt;0,VLOOKUP(BC209,'Job Codes'!B202:I320,8,FALSE),"")</f>
        <v/>
      </c>
      <c r="BI209" s="192" t="str">
        <f>IF(LEN(BC209)&gt;0,VLOOKUP(BC209,'Job Codes'!$B$2:$J$120,9,FALSE),"")</f>
        <v/>
      </c>
      <c r="BJ209" s="146" t="str">
        <f>IF(LEN(BC209)&gt;0,VLOOKUP(BC209,'Job Codes'!$B$2:$I$120,4,FALSE),"")</f>
        <v/>
      </c>
      <c r="BK209" s="146" t="str">
        <f>IF(LEN(BC209)&gt;0,VLOOKUP(BC209,'Job Codes'!$B$2:$I$120,5,FALSE),"")</f>
        <v/>
      </c>
      <c r="BL209" s="146" t="str">
        <f>IF(LEN(BC209)&gt;0,VLOOKUP(BC209,'Job Codes'!$B$2:$I$120,6,FALSE),"")</f>
        <v/>
      </c>
      <c r="BM209" s="168">
        <f t="shared" si="163"/>
        <v>30030</v>
      </c>
      <c r="BN209" s="160">
        <f t="shared" si="164"/>
        <v>30030</v>
      </c>
      <c r="BO209" s="22" t="s">
        <v>157</v>
      </c>
      <c r="BP209" s="157">
        <f>VLOOKUP(I209,'Job Codes'!$B$2:$I$120,8,FALSE)</f>
        <v>0.1</v>
      </c>
      <c r="BQ209" s="25" t="str">
        <f>IF(O209&gt;Data!$H$33,"Yes","No")</f>
        <v>No</v>
      </c>
      <c r="BR209" s="191">
        <v>0.1</v>
      </c>
      <c r="BS209" s="150">
        <f t="shared" si="165"/>
        <v>2860</v>
      </c>
      <c r="BT209" s="25">
        <f t="shared" si="166"/>
        <v>2860</v>
      </c>
      <c r="BU209" s="161">
        <v>1</v>
      </c>
      <c r="BV209" s="168">
        <f t="shared" si="167"/>
        <v>2860</v>
      </c>
      <c r="BW209" s="160">
        <f t="shared" si="168"/>
        <v>2860</v>
      </c>
      <c r="BX209" s="149"/>
      <c r="BY209" s="32">
        <f t="shared" si="169"/>
        <v>0</v>
      </c>
      <c r="BZ209" s="22" t="s">
        <v>157</v>
      </c>
      <c r="CA209" s="231">
        <f>VLOOKUP(I209,'Job Codes'!$B$2:$J$120,9,FALSE)</f>
        <v>0.1</v>
      </c>
      <c r="CB209" s="253">
        <f t="shared" si="170"/>
        <v>2860</v>
      </c>
      <c r="CC209" s="72"/>
      <c r="CD209" s="25" t="str">
        <f t="shared" si="171"/>
        <v>Exceeds</v>
      </c>
      <c r="CE209" s="27"/>
      <c r="CF209" s="27"/>
      <c r="CG209" s="27"/>
      <c r="CH209" s="27"/>
      <c r="CI209" s="27"/>
      <c r="CJ209" s="3">
        <v>29271</v>
      </c>
      <c r="CK209" s="3" t="s">
        <v>255</v>
      </c>
      <c r="CL209" s="3">
        <v>4569</v>
      </c>
      <c r="CM209" s="3" t="s">
        <v>161</v>
      </c>
      <c r="CN209" s="3">
        <v>4571</v>
      </c>
      <c r="CO209" s="3" t="s">
        <v>162</v>
      </c>
      <c r="CP209" s="3">
        <v>12345</v>
      </c>
      <c r="CQ209" s="3" t="s">
        <v>163</v>
      </c>
      <c r="CR209" s="246" t="s">
        <v>164</v>
      </c>
      <c r="CS209" s="5" t="s">
        <v>165</v>
      </c>
      <c r="CT209" s="246" t="s">
        <v>256</v>
      </c>
      <c r="CU209" s="247" t="s">
        <v>257</v>
      </c>
      <c r="CV209" s="3" t="str">
        <f t="shared" si="172"/>
        <v>67890;86672</v>
      </c>
      <c r="CW209" s="3" t="s">
        <v>168</v>
      </c>
      <c r="CX209" s="3" t="str">
        <f t="shared" si="173"/>
        <v>;;BB209:BD209;;</v>
      </c>
      <c r="CY209" s="5" t="str">
        <f t="shared" si="174"/>
        <v>Unlock</v>
      </c>
      <c r="CZ209" s="5" t="str">
        <f t="shared" si="175"/>
        <v>Lock</v>
      </c>
      <c r="DA209" s="5" t="str">
        <f t="shared" si="176"/>
        <v>Lock</v>
      </c>
      <c r="DB209" s="5" t="str">
        <f t="shared" si="177"/>
        <v>Lock</v>
      </c>
      <c r="DC209" s="5" t="str">
        <f t="shared" si="178"/>
        <v>Lock</v>
      </c>
      <c r="DD209" s="78">
        <f t="shared" si="179"/>
        <v>2</v>
      </c>
      <c r="DE209" s="2"/>
      <c r="DF209" s="2"/>
      <c r="DG209" s="2"/>
      <c r="DH209" s="2"/>
      <c r="DI209" s="2"/>
      <c r="DJ209" s="2"/>
      <c r="DK209" s="5"/>
      <c r="DL209" s="2"/>
      <c r="DM209" s="2"/>
      <c r="DN209" s="2"/>
      <c r="DO209" s="2"/>
      <c r="DP209" s="2"/>
      <c r="DQ209" s="2"/>
      <c r="DR209" s="2"/>
      <c r="DS209" s="2"/>
      <c r="DT209" s="2"/>
      <c r="DU209" s="2"/>
      <c r="DV209" s="2"/>
      <c r="DW209" s="2"/>
      <c r="DX209" s="2"/>
      <c r="DY209" s="2"/>
      <c r="DZ209" s="2"/>
      <c r="EA209" s="2"/>
      <c r="EB209" s="2"/>
      <c r="EC209" s="2"/>
      <c r="ED209" s="2"/>
      <c r="EE209" s="2"/>
      <c r="EF209" s="1"/>
      <c r="EG209" s="98"/>
      <c r="EH209" s="98"/>
      <c r="EI209" s="1"/>
      <c r="EJ209" s="1"/>
      <c r="EK209" s="98"/>
      <c r="EL209" s="1"/>
    </row>
    <row r="210" spans="1:142">
      <c r="A210" s="32">
        <f t="shared" si="138"/>
        <v>28379</v>
      </c>
      <c r="B210" s="3" t="str">
        <f t="shared" si="139"/>
        <v>sv_statement//Statement//Export Statement&amp;PDFID=Eric Durst_28379&amp;SO=Y</v>
      </c>
      <c r="C210" s="5" t="str">
        <f t="shared" si="180"/>
        <v>Statement</v>
      </c>
      <c r="D210" s="5" t="str">
        <f t="shared" si="140"/>
        <v>Eric Durst_28379</v>
      </c>
      <c r="E210" s="5"/>
      <c r="F210" s="5">
        <v>28379</v>
      </c>
      <c r="G210" s="22" t="s">
        <v>517</v>
      </c>
      <c r="H210" s="5" t="s">
        <v>214</v>
      </c>
      <c r="I210" s="5" t="s">
        <v>308</v>
      </c>
      <c r="J210" s="5" t="s">
        <v>152</v>
      </c>
      <c r="K210" s="5" t="s">
        <v>480</v>
      </c>
      <c r="L210" s="31">
        <f t="shared" si="141"/>
        <v>11498</v>
      </c>
      <c r="M210" s="5" t="s">
        <v>197</v>
      </c>
      <c r="N210" s="22" t="s">
        <v>155</v>
      </c>
      <c r="O210" s="100">
        <v>40245</v>
      </c>
      <c r="P210" s="146">
        <f>VLOOKUP(I210,'Job Codes'!$B$2:$I$120,4,FALSE)</f>
        <v>27000</v>
      </c>
      <c r="Q210" s="146">
        <f>VLOOKUP(I210,'Job Codes'!$B$2:$I$120,5,FALSE)</f>
        <v>35100</v>
      </c>
      <c r="R210" s="146">
        <f>VLOOKUP(I210,'Job Codes'!$B$2:$I$120,6,FALSE)</f>
        <v>42120</v>
      </c>
      <c r="S210" s="22" t="s">
        <v>171</v>
      </c>
      <c r="T210" s="146">
        <v>23400</v>
      </c>
      <c r="U210" s="8">
        <f>VLOOKUP(S210,Data!$H$22:$I$25,2,FALSE)*T210</f>
        <v>23400</v>
      </c>
      <c r="V210" s="180">
        <f t="shared" si="142"/>
        <v>0.66666666666666663</v>
      </c>
      <c r="W210" s="180">
        <f t="shared" si="143"/>
        <v>0.5</v>
      </c>
      <c r="X210" s="22" t="str">
        <f t="shared" si="144"/>
        <v>Yes</v>
      </c>
      <c r="Y210" s="180">
        <f t="shared" si="145"/>
        <v>0.02</v>
      </c>
      <c r="Z210" s="146">
        <f t="shared" si="146"/>
        <v>468</v>
      </c>
      <c r="AA210" s="146">
        <f t="shared" si="147"/>
        <v>468</v>
      </c>
      <c r="AB210" s="72"/>
      <c r="AC210" s="146">
        <f>AB210/VLOOKUP(S210,Data!$H$22:$I$25,2,FALSE)</f>
        <v>0</v>
      </c>
      <c r="AD210" s="22" t="s">
        <v>157</v>
      </c>
      <c r="AE210" s="146">
        <f>VLOOKUP(S210,Data!$H$22:$J$25,3,FALSE)*T210</f>
        <v>702</v>
      </c>
      <c r="AF210" s="8">
        <f>VLOOKUP(S210,Data!$H$22:$I$25,2,FALSE)*AE210</f>
        <v>702</v>
      </c>
      <c r="AG210" s="8" t="s">
        <v>158</v>
      </c>
      <c r="AH210" s="23">
        <v>0.05</v>
      </c>
      <c r="AI210" s="72"/>
      <c r="AJ210" s="159">
        <f t="shared" si="148"/>
        <v>0.05</v>
      </c>
      <c r="AK210" s="168">
        <f t="shared" si="181"/>
        <v>1170</v>
      </c>
      <c r="AL210" s="160">
        <f t="shared" si="182"/>
        <v>1170</v>
      </c>
      <c r="AM210" s="168">
        <f t="shared" si="149"/>
        <v>24570</v>
      </c>
      <c r="AN210" s="160">
        <f t="shared" si="150"/>
        <v>24570</v>
      </c>
      <c r="AO210" s="160" t="str">
        <f t="shared" si="183"/>
        <v>No</v>
      </c>
      <c r="AP210" s="146">
        <f>IF(AQ210=0,0,AQ210/VLOOKUP(S210,Data!$H$22:$I$25,2,FALSE))</f>
        <v>0</v>
      </c>
      <c r="AQ210" s="183">
        <f t="shared" si="151"/>
        <v>0</v>
      </c>
      <c r="AR210" s="165">
        <f t="shared" si="152"/>
        <v>1170</v>
      </c>
      <c r="AS210" s="183">
        <f t="shared" si="153"/>
        <v>1170</v>
      </c>
      <c r="AT210" s="250">
        <f t="shared" si="154"/>
        <v>0.05</v>
      </c>
      <c r="AU210" s="146">
        <f t="shared" si="155"/>
        <v>24570</v>
      </c>
      <c r="AV210" s="8">
        <f t="shared" si="156"/>
        <v>24570</v>
      </c>
      <c r="AW210" s="8" t="str">
        <f t="shared" si="157"/>
        <v/>
      </c>
      <c r="AX210" s="180">
        <f t="shared" si="158"/>
        <v>0.7</v>
      </c>
      <c r="AY210" s="146">
        <f t="shared" si="159"/>
        <v>0</v>
      </c>
      <c r="AZ210" s="146">
        <f t="shared" si="160"/>
        <v>0</v>
      </c>
      <c r="BA210" s="22" t="s">
        <v>159</v>
      </c>
      <c r="BB210" s="149"/>
      <c r="BC210" s="149"/>
      <c r="BD210" s="144"/>
      <c r="BE210" s="146" t="str">
        <f t="shared" si="161"/>
        <v/>
      </c>
      <c r="BF210" s="8" t="str">
        <f t="shared" si="162"/>
        <v/>
      </c>
      <c r="BG210" s="8" t="str">
        <f>IF(LEN(BC210)&gt;0,VLOOKUP(BC210,'Job Codes'!B203:I321,7,FALSE),"")</f>
        <v/>
      </c>
      <c r="BH210" s="192" t="str">
        <f>IF(LEN(BC210)&gt;0,VLOOKUP(BC210,'Job Codes'!B203:I321,8,FALSE),"")</f>
        <v/>
      </c>
      <c r="BI210" s="192" t="str">
        <f>IF(LEN(BC210)&gt;0,VLOOKUP(BC210,'Job Codes'!$B$2:$J$120,9,FALSE),"")</f>
        <v/>
      </c>
      <c r="BJ210" s="146" t="str">
        <f>IF(LEN(BC210)&gt;0,VLOOKUP(BC210,'Job Codes'!$B$2:$I$120,4,FALSE),"")</f>
        <v/>
      </c>
      <c r="BK210" s="146" t="str">
        <f>IF(LEN(BC210)&gt;0,VLOOKUP(BC210,'Job Codes'!$B$2:$I$120,5,FALSE),"")</f>
        <v/>
      </c>
      <c r="BL210" s="146" t="str">
        <f>IF(LEN(BC210)&gt;0,VLOOKUP(BC210,'Job Codes'!$B$2:$I$120,6,FALSE),"")</f>
        <v/>
      </c>
      <c r="BM210" s="168">
        <f t="shared" si="163"/>
        <v>24570</v>
      </c>
      <c r="BN210" s="160">
        <f t="shared" si="164"/>
        <v>24570</v>
      </c>
      <c r="BO210" s="22" t="s">
        <v>157</v>
      </c>
      <c r="BP210" s="157">
        <f>VLOOKUP(I210,'Job Codes'!$B$2:$I$120,8,FALSE)</f>
        <v>0.05</v>
      </c>
      <c r="BQ210" s="25" t="str">
        <f>IF(O210&gt;Data!$H$33,"Yes","No")</f>
        <v>No</v>
      </c>
      <c r="BR210" s="191">
        <v>0.05</v>
      </c>
      <c r="BS210" s="150">
        <f t="shared" si="165"/>
        <v>1170</v>
      </c>
      <c r="BT210" s="25">
        <f t="shared" si="166"/>
        <v>1170</v>
      </c>
      <c r="BU210" s="161">
        <v>1</v>
      </c>
      <c r="BV210" s="168">
        <f t="shared" si="167"/>
        <v>1170</v>
      </c>
      <c r="BW210" s="160">
        <f t="shared" si="168"/>
        <v>1170</v>
      </c>
      <c r="BX210" s="149"/>
      <c r="BY210" s="32">
        <f t="shared" si="169"/>
        <v>0</v>
      </c>
      <c r="BZ210" s="22" t="s">
        <v>159</v>
      </c>
      <c r="CA210" s="231">
        <f>VLOOKUP(I210,'Job Codes'!$B$2:$J$120,9,FALSE)</f>
        <v>0</v>
      </c>
      <c r="CB210" s="253">
        <f t="shared" si="170"/>
        <v>0</v>
      </c>
      <c r="CC210" s="72"/>
      <c r="CD210" s="25" t="str">
        <f t="shared" si="171"/>
        <v>Exceeds</v>
      </c>
      <c r="CE210" s="27"/>
      <c r="CF210" s="27"/>
      <c r="CG210" s="27"/>
      <c r="CH210" s="27"/>
      <c r="CI210" s="27"/>
      <c r="CJ210" s="3">
        <v>20714</v>
      </c>
      <c r="CK210" s="3" t="s">
        <v>198</v>
      </c>
      <c r="CL210" s="3">
        <v>4569</v>
      </c>
      <c r="CM210" s="3" t="s">
        <v>161</v>
      </c>
      <c r="CN210" s="3">
        <v>4571</v>
      </c>
      <c r="CO210" s="3" t="s">
        <v>162</v>
      </c>
      <c r="CP210" s="3">
        <v>12345</v>
      </c>
      <c r="CQ210" s="3" t="s">
        <v>163</v>
      </c>
      <c r="CR210" s="246" t="s">
        <v>166</v>
      </c>
      <c r="CS210" s="247" t="s">
        <v>167</v>
      </c>
      <c r="CT210" s="246" t="s">
        <v>199</v>
      </c>
      <c r="CU210" s="247" t="s">
        <v>200</v>
      </c>
      <c r="CV210" s="3" t="str">
        <f t="shared" si="172"/>
        <v>99485;36523</v>
      </c>
      <c r="CW210" s="3" t="s">
        <v>168</v>
      </c>
      <c r="CX210" s="3" t="str">
        <f t="shared" si="173"/>
        <v>;;BB210:BD210;;CC210</v>
      </c>
      <c r="CY210" s="5" t="str">
        <f t="shared" si="174"/>
        <v>Unlock</v>
      </c>
      <c r="CZ210" s="5" t="str">
        <f t="shared" si="175"/>
        <v>Lock</v>
      </c>
      <c r="DA210" s="5" t="str">
        <f t="shared" si="176"/>
        <v>Lock</v>
      </c>
      <c r="DB210" s="5" t="str">
        <f t="shared" si="177"/>
        <v>Lock</v>
      </c>
      <c r="DC210" s="5" t="str">
        <f t="shared" si="178"/>
        <v>Lock</v>
      </c>
      <c r="DD210" s="78">
        <f t="shared" si="179"/>
        <v>2</v>
      </c>
      <c r="DE210" s="2"/>
      <c r="DF210" s="2"/>
      <c r="DG210" s="2"/>
      <c r="DH210" s="2"/>
      <c r="DI210" s="2"/>
      <c r="DJ210" s="2"/>
      <c r="DK210" s="5"/>
      <c r="DL210" s="2"/>
      <c r="DM210" s="2"/>
      <c r="DN210" s="2"/>
      <c r="DO210" s="2"/>
      <c r="DP210" s="2"/>
      <c r="DQ210" s="2"/>
      <c r="DR210" s="2"/>
      <c r="DS210" s="2"/>
      <c r="DT210" s="2"/>
      <c r="DU210" s="2"/>
      <c r="DV210" s="2"/>
      <c r="DW210" s="2"/>
      <c r="DX210" s="2"/>
      <c r="DY210" s="2"/>
      <c r="DZ210" s="2"/>
      <c r="EA210" s="2"/>
      <c r="EB210" s="2"/>
      <c r="EC210" s="2"/>
      <c r="ED210" s="2"/>
      <c r="EE210" s="2"/>
      <c r="EF210" s="1"/>
      <c r="EG210" s="98"/>
      <c r="EH210" s="98"/>
      <c r="EI210" s="1"/>
      <c r="EJ210" s="1"/>
      <c r="EK210" s="98"/>
      <c r="EL210" s="1"/>
    </row>
    <row r="211" spans="1:142">
      <c r="A211" s="32">
        <f t="shared" si="138"/>
        <v>28380</v>
      </c>
      <c r="B211" s="3" t="str">
        <f t="shared" si="139"/>
        <v>sv_statement//Statement//Export Statement&amp;PDFID=Monique Fecteau_28380&amp;SO=Y</v>
      </c>
      <c r="C211" s="5" t="str">
        <f t="shared" si="180"/>
        <v>Statement</v>
      </c>
      <c r="D211" s="5" t="str">
        <f t="shared" si="140"/>
        <v>Monique Fecteau_28380</v>
      </c>
      <c r="E211" s="5"/>
      <c r="F211" s="5">
        <v>28380</v>
      </c>
      <c r="G211" s="22" t="s">
        <v>518</v>
      </c>
      <c r="H211" s="5" t="s">
        <v>214</v>
      </c>
      <c r="I211" s="5" t="s">
        <v>519</v>
      </c>
      <c r="J211" s="5" t="s">
        <v>152</v>
      </c>
      <c r="K211" s="5" t="s">
        <v>480</v>
      </c>
      <c r="L211" s="31">
        <f t="shared" si="141"/>
        <v>11498</v>
      </c>
      <c r="M211" s="5" t="s">
        <v>197</v>
      </c>
      <c r="N211" s="22" t="s">
        <v>155</v>
      </c>
      <c r="O211" s="100">
        <v>40245</v>
      </c>
      <c r="P211" s="146">
        <f>VLOOKUP(I211,'Job Codes'!$B$2:$I$120,4,FALSE)</f>
        <v>26500</v>
      </c>
      <c r="Q211" s="146">
        <f>VLOOKUP(I211,'Job Codes'!$B$2:$I$120,5,FALSE)</f>
        <v>34450</v>
      </c>
      <c r="R211" s="146">
        <f>VLOOKUP(I211,'Job Codes'!$B$2:$I$120,6,FALSE)</f>
        <v>41340</v>
      </c>
      <c r="S211" s="22" t="s">
        <v>171</v>
      </c>
      <c r="T211" s="146">
        <v>23400</v>
      </c>
      <c r="U211" s="8">
        <f>VLOOKUP(S211,Data!$H$22:$I$25,2,FALSE)*T211</f>
        <v>23400</v>
      </c>
      <c r="V211" s="180">
        <f t="shared" si="142"/>
        <v>0.67924528301886788</v>
      </c>
      <c r="W211" s="180">
        <f t="shared" si="143"/>
        <v>0.47222222222222221</v>
      </c>
      <c r="X211" s="22" t="str">
        <f t="shared" si="144"/>
        <v>Yes</v>
      </c>
      <c r="Y211" s="180">
        <f t="shared" si="145"/>
        <v>0.02</v>
      </c>
      <c r="Z211" s="146">
        <f t="shared" si="146"/>
        <v>468</v>
      </c>
      <c r="AA211" s="146">
        <f t="shared" si="147"/>
        <v>468</v>
      </c>
      <c r="AB211" s="72"/>
      <c r="AC211" s="146">
        <f>AB211/VLOOKUP(S211,Data!$H$22:$I$25,2,FALSE)</f>
        <v>0</v>
      </c>
      <c r="AD211" s="22" t="s">
        <v>157</v>
      </c>
      <c r="AE211" s="146">
        <f>VLOOKUP(S211,Data!$H$22:$J$25,3,FALSE)*T211</f>
        <v>702</v>
      </c>
      <c r="AF211" s="8">
        <f>VLOOKUP(S211,Data!$H$22:$I$25,2,FALSE)*AE211</f>
        <v>702</v>
      </c>
      <c r="AG211" s="8" t="s">
        <v>178</v>
      </c>
      <c r="AH211" s="23">
        <v>0.02</v>
      </c>
      <c r="AI211" s="72"/>
      <c r="AJ211" s="159">
        <f t="shared" si="148"/>
        <v>0.02</v>
      </c>
      <c r="AK211" s="168">
        <f t="shared" si="181"/>
        <v>468</v>
      </c>
      <c r="AL211" s="160">
        <f t="shared" si="182"/>
        <v>468</v>
      </c>
      <c r="AM211" s="168">
        <f t="shared" si="149"/>
        <v>23868</v>
      </c>
      <c r="AN211" s="160">
        <f t="shared" si="150"/>
        <v>23868</v>
      </c>
      <c r="AO211" s="160" t="str">
        <f t="shared" si="183"/>
        <v>No</v>
      </c>
      <c r="AP211" s="146">
        <f>IF(AQ211=0,0,AQ211/VLOOKUP(S211,Data!$H$22:$I$25,2,FALSE))</f>
        <v>0</v>
      </c>
      <c r="AQ211" s="183">
        <f t="shared" si="151"/>
        <v>0</v>
      </c>
      <c r="AR211" s="165">
        <f t="shared" si="152"/>
        <v>468</v>
      </c>
      <c r="AS211" s="183">
        <f t="shared" si="153"/>
        <v>468</v>
      </c>
      <c r="AT211" s="250">
        <f t="shared" si="154"/>
        <v>0.02</v>
      </c>
      <c r="AU211" s="146">
        <f t="shared" si="155"/>
        <v>23868</v>
      </c>
      <c r="AV211" s="8">
        <f t="shared" si="156"/>
        <v>23868</v>
      </c>
      <c r="AW211" s="8" t="str">
        <f t="shared" si="157"/>
        <v/>
      </c>
      <c r="AX211" s="180">
        <f t="shared" si="158"/>
        <v>0.69283018867924528</v>
      </c>
      <c r="AY211" s="146">
        <f t="shared" si="159"/>
        <v>0</v>
      </c>
      <c r="AZ211" s="146">
        <f t="shared" si="160"/>
        <v>0</v>
      </c>
      <c r="BA211" s="22" t="s">
        <v>159</v>
      </c>
      <c r="BB211" s="149"/>
      <c r="BC211" s="149"/>
      <c r="BD211" s="144"/>
      <c r="BE211" s="146" t="str">
        <f t="shared" si="161"/>
        <v/>
      </c>
      <c r="BF211" s="8" t="str">
        <f t="shared" si="162"/>
        <v/>
      </c>
      <c r="BG211" s="8" t="str">
        <f>IF(LEN(BC211)&gt;0,VLOOKUP(BC211,'Job Codes'!B204:I322,7,FALSE),"")</f>
        <v/>
      </c>
      <c r="BH211" s="192" t="str">
        <f>IF(LEN(BC211)&gt;0,VLOOKUP(BC211,'Job Codes'!B204:I322,8,FALSE),"")</f>
        <v/>
      </c>
      <c r="BI211" s="192" t="str">
        <f>IF(LEN(BC211)&gt;0,VLOOKUP(BC211,'Job Codes'!$B$2:$J$120,9,FALSE),"")</f>
        <v/>
      </c>
      <c r="BJ211" s="146" t="str">
        <f>IF(LEN(BC211)&gt;0,VLOOKUP(BC211,'Job Codes'!$B$2:$I$120,4,FALSE),"")</f>
        <v/>
      </c>
      <c r="BK211" s="146" t="str">
        <f>IF(LEN(BC211)&gt;0,VLOOKUP(BC211,'Job Codes'!$B$2:$I$120,5,FALSE),"")</f>
        <v/>
      </c>
      <c r="BL211" s="146" t="str">
        <f>IF(LEN(BC211)&gt;0,VLOOKUP(BC211,'Job Codes'!$B$2:$I$120,6,FALSE),"")</f>
        <v/>
      </c>
      <c r="BM211" s="168">
        <f t="shared" si="163"/>
        <v>23868</v>
      </c>
      <c r="BN211" s="160">
        <f t="shared" si="164"/>
        <v>23868</v>
      </c>
      <c r="BO211" s="22" t="s">
        <v>157</v>
      </c>
      <c r="BP211" s="157">
        <f>VLOOKUP(I211,'Job Codes'!$B$2:$I$120,8,FALSE)</f>
        <v>0.05</v>
      </c>
      <c r="BQ211" s="25" t="str">
        <f>IF(O211&gt;Data!$H$33,"Yes","No")</f>
        <v>No</v>
      </c>
      <c r="BR211" s="191">
        <v>0.05</v>
      </c>
      <c r="BS211" s="150">
        <f t="shared" si="165"/>
        <v>1170</v>
      </c>
      <c r="BT211" s="25">
        <f t="shared" si="166"/>
        <v>1170</v>
      </c>
      <c r="BU211" s="161">
        <v>1</v>
      </c>
      <c r="BV211" s="168">
        <f t="shared" si="167"/>
        <v>1170</v>
      </c>
      <c r="BW211" s="160">
        <f t="shared" si="168"/>
        <v>1170</v>
      </c>
      <c r="BX211" s="149"/>
      <c r="BY211" s="32">
        <f t="shared" si="169"/>
        <v>0</v>
      </c>
      <c r="BZ211" s="22" t="s">
        <v>159</v>
      </c>
      <c r="CA211" s="231">
        <f>VLOOKUP(I211,'Job Codes'!$B$2:$J$120,9,FALSE)</f>
        <v>0</v>
      </c>
      <c r="CB211" s="253">
        <f t="shared" si="170"/>
        <v>0</v>
      </c>
      <c r="CC211" s="72"/>
      <c r="CD211" s="25" t="str">
        <f t="shared" si="171"/>
        <v>Meets</v>
      </c>
      <c r="CE211" s="27"/>
      <c r="CF211" s="27"/>
      <c r="CG211" s="27"/>
      <c r="CH211" s="27"/>
      <c r="CI211" s="27"/>
      <c r="CJ211" s="3">
        <v>20714</v>
      </c>
      <c r="CK211" s="3" t="s">
        <v>198</v>
      </c>
      <c r="CL211" s="3">
        <v>4569</v>
      </c>
      <c r="CM211" s="3" t="s">
        <v>161</v>
      </c>
      <c r="CN211" s="3">
        <v>4571</v>
      </c>
      <c r="CO211" s="3" t="s">
        <v>162</v>
      </c>
      <c r="CP211" s="3">
        <v>12345</v>
      </c>
      <c r="CQ211" s="3" t="s">
        <v>163</v>
      </c>
      <c r="CR211" s="246" t="s">
        <v>166</v>
      </c>
      <c r="CS211" s="247" t="s">
        <v>167</v>
      </c>
      <c r="CT211" s="246" t="s">
        <v>199</v>
      </c>
      <c r="CU211" s="247" t="s">
        <v>200</v>
      </c>
      <c r="CV211" s="3" t="str">
        <f t="shared" si="172"/>
        <v>99485;36523</v>
      </c>
      <c r="CW211" s="3" t="s">
        <v>168</v>
      </c>
      <c r="CX211" s="3" t="str">
        <f t="shared" si="173"/>
        <v>;;BB211:BD211;;CC211</v>
      </c>
      <c r="CY211" s="5" t="str">
        <f t="shared" si="174"/>
        <v>Unlock</v>
      </c>
      <c r="CZ211" s="5" t="str">
        <f t="shared" si="175"/>
        <v>Lock</v>
      </c>
      <c r="DA211" s="5" t="str">
        <f t="shared" si="176"/>
        <v>Lock</v>
      </c>
      <c r="DB211" s="5" t="str">
        <f t="shared" si="177"/>
        <v>Lock</v>
      </c>
      <c r="DC211" s="5" t="str">
        <f t="shared" si="178"/>
        <v>Lock</v>
      </c>
      <c r="DD211" s="78">
        <f t="shared" si="179"/>
        <v>2</v>
      </c>
      <c r="DE211" s="2"/>
      <c r="DF211" s="2"/>
      <c r="DG211" s="2"/>
      <c r="DH211" s="2"/>
      <c r="DI211" s="2"/>
      <c r="DJ211" s="2"/>
      <c r="DK211" s="5"/>
      <c r="DL211" s="2"/>
      <c r="DM211" s="2"/>
      <c r="DN211" s="2"/>
      <c r="DO211" s="2"/>
      <c r="DP211" s="2"/>
      <c r="DQ211" s="2"/>
      <c r="DR211" s="2"/>
      <c r="DS211" s="2"/>
      <c r="DT211" s="2"/>
      <c r="DU211" s="2"/>
      <c r="DV211" s="2"/>
      <c r="DW211" s="2"/>
      <c r="DX211" s="2"/>
      <c r="DY211" s="2"/>
      <c r="DZ211" s="2"/>
      <c r="EA211" s="2"/>
      <c r="EB211" s="2"/>
      <c r="EC211" s="2"/>
      <c r="ED211" s="2"/>
      <c r="EE211" s="2"/>
      <c r="EF211" s="1"/>
      <c r="EG211" s="98"/>
      <c r="EH211" s="98"/>
      <c r="EI211" s="1"/>
      <c r="EJ211" s="1"/>
      <c r="EK211" s="98"/>
      <c r="EL211" s="1"/>
    </row>
    <row r="212" spans="1:142">
      <c r="A212" s="32">
        <f t="shared" si="138"/>
        <v>28756</v>
      </c>
      <c r="B212" s="3" t="str">
        <f t="shared" si="139"/>
        <v>sv_statement//Statement//Export Statement&amp;PDFID=Vincent Cole_28756&amp;SO=Y</v>
      </c>
      <c r="C212" s="5" t="str">
        <f t="shared" si="180"/>
        <v>Statement</v>
      </c>
      <c r="D212" s="5" t="str">
        <f t="shared" si="140"/>
        <v>Vincent Cole_28756</v>
      </c>
      <c r="E212" s="5"/>
      <c r="F212" s="5">
        <v>28756</v>
      </c>
      <c r="G212" s="22" t="s">
        <v>520</v>
      </c>
      <c r="H212" s="5" t="s">
        <v>214</v>
      </c>
      <c r="I212" s="5" t="s">
        <v>521</v>
      </c>
      <c r="J212" s="5" t="s">
        <v>152</v>
      </c>
      <c r="K212" s="5" t="s">
        <v>480</v>
      </c>
      <c r="L212" s="31">
        <f t="shared" si="141"/>
        <v>11498</v>
      </c>
      <c r="M212" s="5" t="s">
        <v>197</v>
      </c>
      <c r="N212" s="22" t="s">
        <v>155</v>
      </c>
      <c r="O212" s="100">
        <v>40259</v>
      </c>
      <c r="P212" s="146">
        <f>VLOOKUP(I212,'Job Codes'!$B$2:$I$120,4,FALSE)</f>
        <v>27000</v>
      </c>
      <c r="Q212" s="146">
        <f>VLOOKUP(I212,'Job Codes'!$B$2:$I$120,5,FALSE)</f>
        <v>35100</v>
      </c>
      <c r="R212" s="146">
        <f>VLOOKUP(I212,'Job Codes'!$B$2:$I$120,6,FALSE)</f>
        <v>42120</v>
      </c>
      <c r="S212" s="22" t="s">
        <v>171</v>
      </c>
      <c r="T212" s="146">
        <v>26000</v>
      </c>
      <c r="U212" s="8">
        <f>VLOOKUP(S212,Data!$H$22:$I$25,2,FALSE)*T212</f>
        <v>26000</v>
      </c>
      <c r="V212" s="180">
        <f t="shared" si="142"/>
        <v>0.7407407407407407</v>
      </c>
      <c r="W212" s="180">
        <f t="shared" si="143"/>
        <v>0.35</v>
      </c>
      <c r="X212" s="22" t="str">
        <f t="shared" si="144"/>
        <v>Yes</v>
      </c>
      <c r="Y212" s="180">
        <f t="shared" si="145"/>
        <v>0.02</v>
      </c>
      <c r="Z212" s="146">
        <f t="shared" si="146"/>
        <v>520</v>
      </c>
      <c r="AA212" s="146">
        <f t="shared" si="147"/>
        <v>520</v>
      </c>
      <c r="AB212" s="72"/>
      <c r="AC212" s="146">
        <f>AB212/VLOOKUP(S212,Data!$H$22:$I$25,2,FALSE)</f>
        <v>0</v>
      </c>
      <c r="AD212" s="22" t="s">
        <v>157</v>
      </c>
      <c r="AE212" s="146">
        <f>VLOOKUP(S212,Data!$H$22:$J$25,3,FALSE)*T212</f>
        <v>780</v>
      </c>
      <c r="AF212" s="8">
        <f>VLOOKUP(S212,Data!$H$22:$I$25,2,FALSE)*AE212</f>
        <v>780</v>
      </c>
      <c r="AG212" s="8" t="s">
        <v>178</v>
      </c>
      <c r="AH212" s="23">
        <v>2.5000000000000001E-2</v>
      </c>
      <c r="AI212" s="72"/>
      <c r="AJ212" s="159">
        <f t="shared" si="148"/>
        <v>2.5000000000000001E-2</v>
      </c>
      <c r="AK212" s="168">
        <f t="shared" si="181"/>
        <v>650</v>
      </c>
      <c r="AL212" s="160">
        <f t="shared" si="182"/>
        <v>650</v>
      </c>
      <c r="AM212" s="168">
        <f t="shared" si="149"/>
        <v>26650</v>
      </c>
      <c r="AN212" s="160">
        <f t="shared" si="150"/>
        <v>26650</v>
      </c>
      <c r="AO212" s="160" t="str">
        <f t="shared" si="183"/>
        <v>No</v>
      </c>
      <c r="AP212" s="146">
        <f>IF(AQ212=0,0,AQ212/VLOOKUP(S212,Data!$H$22:$I$25,2,FALSE))</f>
        <v>0</v>
      </c>
      <c r="AQ212" s="183">
        <f t="shared" si="151"/>
        <v>0</v>
      </c>
      <c r="AR212" s="165">
        <f t="shared" si="152"/>
        <v>650</v>
      </c>
      <c r="AS212" s="183">
        <f t="shared" si="153"/>
        <v>650</v>
      </c>
      <c r="AT212" s="250">
        <f t="shared" si="154"/>
        <v>2.5000000000000001E-2</v>
      </c>
      <c r="AU212" s="146">
        <f t="shared" si="155"/>
        <v>26650</v>
      </c>
      <c r="AV212" s="8">
        <f t="shared" si="156"/>
        <v>26650</v>
      </c>
      <c r="AW212" s="8" t="str">
        <f t="shared" si="157"/>
        <v/>
      </c>
      <c r="AX212" s="180">
        <f t="shared" si="158"/>
        <v>0.7592592592592593</v>
      </c>
      <c r="AY212" s="146">
        <f t="shared" si="159"/>
        <v>0</v>
      </c>
      <c r="AZ212" s="146">
        <f t="shared" si="160"/>
        <v>0</v>
      </c>
      <c r="BA212" s="22" t="s">
        <v>159</v>
      </c>
      <c r="BB212" s="149"/>
      <c r="BC212" s="149"/>
      <c r="BD212" s="144"/>
      <c r="BE212" s="146" t="str">
        <f t="shared" si="161"/>
        <v/>
      </c>
      <c r="BF212" s="8" t="str">
        <f t="shared" si="162"/>
        <v/>
      </c>
      <c r="BG212" s="8" t="str">
        <f>IF(LEN(BC212)&gt;0,VLOOKUP(BC212,'Job Codes'!B205:I323,7,FALSE),"")</f>
        <v/>
      </c>
      <c r="BH212" s="192" t="str">
        <f>IF(LEN(BC212)&gt;0,VLOOKUP(BC212,'Job Codes'!B205:I323,8,FALSE),"")</f>
        <v/>
      </c>
      <c r="BI212" s="192" t="str">
        <f>IF(LEN(BC212)&gt;0,VLOOKUP(BC212,'Job Codes'!$B$2:$J$120,9,FALSE),"")</f>
        <v/>
      </c>
      <c r="BJ212" s="146" t="str">
        <f>IF(LEN(BC212)&gt;0,VLOOKUP(BC212,'Job Codes'!$B$2:$I$120,4,FALSE),"")</f>
        <v/>
      </c>
      <c r="BK212" s="146" t="str">
        <f>IF(LEN(BC212)&gt;0,VLOOKUP(BC212,'Job Codes'!$B$2:$I$120,5,FALSE),"")</f>
        <v/>
      </c>
      <c r="BL212" s="146" t="str">
        <f>IF(LEN(BC212)&gt;0,VLOOKUP(BC212,'Job Codes'!$B$2:$I$120,6,FALSE),"")</f>
        <v/>
      </c>
      <c r="BM212" s="168">
        <f t="shared" si="163"/>
        <v>26650</v>
      </c>
      <c r="BN212" s="160">
        <f t="shared" si="164"/>
        <v>26650</v>
      </c>
      <c r="BO212" s="22" t="s">
        <v>157</v>
      </c>
      <c r="BP212" s="157">
        <f>VLOOKUP(I212,'Job Codes'!$B$2:$I$120,8,FALSE)</f>
        <v>0.05</v>
      </c>
      <c r="BQ212" s="25" t="str">
        <f>IF(O212&gt;Data!$H$33,"Yes","No")</f>
        <v>No</v>
      </c>
      <c r="BR212" s="191">
        <v>0.05</v>
      </c>
      <c r="BS212" s="150">
        <f t="shared" si="165"/>
        <v>1300</v>
      </c>
      <c r="BT212" s="25">
        <f t="shared" si="166"/>
        <v>1300</v>
      </c>
      <c r="BU212" s="161">
        <v>1</v>
      </c>
      <c r="BV212" s="168">
        <f t="shared" si="167"/>
        <v>1300</v>
      </c>
      <c r="BW212" s="160">
        <f t="shared" si="168"/>
        <v>1300</v>
      </c>
      <c r="BX212" s="149"/>
      <c r="BY212" s="32">
        <f t="shared" si="169"/>
        <v>0</v>
      </c>
      <c r="BZ212" s="22" t="s">
        <v>159</v>
      </c>
      <c r="CA212" s="231">
        <f>VLOOKUP(I212,'Job Codes'!$B$2:$J$120,9,FALSE)</f>
        <v>0</v>
      </c>
      <c r="CB212" s="253">
        <f t="shared" si="170"/>
        <v>0</v>
      </c>
      <c r="CC212" s="72"/>
      <c r="CD212" s="25" t="str">
        <f t="shared" si="171"/>
        <v>Meets</v>
      </c>
      <c r="CE212" s="27"/>
      <c r="CF212" s="27"/>
      <c r="CG212" s="27"/>
      <c r="CH212" s="27"/>
      <c r="CI212" s="27"/>
      <c r="CJ212" s="3">
        <v>20714</v>
      </c>
      <c r="CK212" s="3" t="s">
        <v>198</v>
      </c>
      <c r="CL212" s="3">
        <v>4569</v>
      </c>
      <c r="CM212" s="3" t="s">
        <v>161</v>
      </c>
      <c r="CN212" s="3">
        <v>4571</v>
      </c>
      <c r="CO212" s="3" t="s">
        <v>162</v>
      </c>
      <c r="CP212" s="3">
        <v>12345</v>
      </c>
      <c r="CQ212" s="3" t="s">
        <v>163</v>
      </c>
      <c r="CR212" s="246" t="s">
        <v>166</v>
      </c>
      <c r="CS212" s="247" t="s">
        <v>167</v>
      </c>
      <c r="CT212" s="246" t="s">
        <v>199</v>
      </c>
      <c r="CU212" s="247" t="s">
        <v>200</v>
      </c>
      <c r="CV212" s="3" t="str">
        <f t="shared" si="172"/>
        <v>99485;36523</v>
      </c>
      <c r="CW212" s="3" t="s">
        <v>168</v>
      </c>
      <c r="CX212" s="3" t="str">
        <f t="shared" si="173"/>
        <v>;;BB212:BD212;;CC212</v>
      </c>
      <c r="CY212" s="5" t="str">
        <f t="shared" si="174"/>
        <v>Unlock</v>
      </c>
      <c r="CZ212" s="5" t="str">
        <f t="shared" si="175"/>
        <v>Lock</v>
      </c>
      <c r="DA212" s="5" t="str">
        <f t="shared" si="176"/>
        <v>Lock</v>
      </c>
      <c r="DB212" s="5" t="str">
        <f t="shared" si="177"/>
        <v>Lock</v>
      </c>
      <c r="DC212" s="5" t="str">
        <f t="shared" si="178"/>
        <v>Lock</v>
      </c>
      <c r="DD212" s="78">
        <f t="shared" si="179"/>
        <v>2</v>
      </c>
      <c r="DE212" s="2"/>
      <c r="DF212" s="2"/>
      <c r="DG212" s="2"/>
      <c r="DH212" s="2"/>
      <c r="DI212" s="2"/>
      <c r="DJ212" s="2"/>
      <c r="DK212" s="5"/>
      <c r="DL212" s="2"/>
      <c r="DM212" s="2"/>
      <c r="DN212" s="2"/>
      <c r="DO212" s="2"/>
      <c r="DP212" s="2"/>
      <c r="DQ212" s="2"/>
      <c r="DR212" s="2"/>
      <c r="DS212" s="2"/>
      <c r="DT212" s="2"/>
      <c r="DU212" s="2"/>
      <c r="DV212" s="2"/>
      <c r="DW212" s="2"/>
      <c r="DX212" s="2"/>
      <c r="DY212" s="2"/>
      <c r="DZ212" s="2"/>
      <c r="EA212" s="2"/>
      <c r="EB212" s="2"/>
      <c r="EC212" s="2"/>
      <c r="ED212" s="2"/>
      <c r="EE212" s="2"/>
      <c r="EF212" s="1"/>
      <c r="EG212" s="98"/>
      <c r="EH212" s="98"/>
      <c r="EI212" s="1"/>
      <c r="EJ212" s="1"/>
      <c r="EK212" s="98"/>
      <c r="EL212" s="1"/>
    </row>
    <row r="213" spans="1:142">
      <c r="A213" s="32">
        <f t="shared" si="138"/>
        <v>28810</v>
      </c>
      <c r="B213" s="3" t="str">
        <f t="shared" si="139"/>
        <v>sv_statement//Statement//Export Statement&amp;PDFID=Nicholas Harlan_28810&amp;SO=Y</v>
      </c>
      <c r="C213" s="5" t="str">
        <f t="shared" si="180"/>
        <v>Statement</v>
      </c>
      <c r="D213" s="5" t="str">
        <f t="shared" si="140"/>
        <v>Nicholas Harlan_28810</v>
      </c>
      <c r="E213" s="5"/>
      <c r="F213" s="5">
        <v>28810</v>
      </c>
      <c r="G213" s="22" t="s">
        <v>522</v>
      </c>
      <c r="H213" s="5" t="s">
        <v>296</v>
      </c>
      <c r="I213" s="5" t="s">
        <v>523</v>
      </c>
      <c r="J213" s="5" t="s">
        <v>152</v>
      </c>
      <c r="K213" s="5" t="s">
        <v>153</v>
      </c>
      <c r="L213" s="31">
        <f t="shared" si="141"/>
        <v>11351</v>
      </c>
      <c r="M213" s="5" t="s">
        <v>177</v>
      </c>
      <c r="N213" s="22" t="s">
        <v>155</v>
      </c>
      <c r="O213" s="100">
        <v>40259</v>
      </c>
      <c r="P213" s="146">
        <f>VLOOKUP(I213,'Job Codes'!$B$2:$I$120,4,FALSE)</f>
        <v>26500</v>
      </c>
      <c r="Q213" s="146">
        <f>VLOOKUP(I213,'Job Codes'!$B$2:$I$120,5,FALSE)</f>
        <v>34450</v>
      </c>
      <c r="R213" s="146">
        <f>VLOOKUP(I213,'Job Codes'!$B$2:$I$120,6,FALSE)</f>
        <v>41340</v>
      </c>
      <c r="S213" s="22" t="s">
        <v>171</v>
      </c>
      <c r="T213" s="146">
        <v>26000</v>
      </c>
      <c r="U213" s="8">
        <f>VLOOKUP(S213,Data!$H$22:$I$25,2,FALSE)*T213</f>
        <v>26000</v>
      </c>
      <c r="V213" s="180">
        <f t="shared" si="142"/>
        <v>0.75471698113207553</v>
      </c>
      <c r="W213" s="180">
        <f t="shared" si="143"/>
        <v>0.32500000000000001</v>
      </c>
      <c r="X213" s="22" t="str">
        <f t="shared" si="144"/>
        <v>Yes</v>
      </c>
      <c r="Y213" s="180">
        <f t="shared" si="145"/>
        <v>0.02</v>
      </c>
      <c r="Z213" s="146">
        <f t="shared" si="146"/>
        <v>520</v>
      </c>
      <c r="AA213" s="146">
        <f t="shared" si="147"/>
        <v>520</v>
      </c>
      <c r="AB213" s="72"/>
      <c r="AC213" s="146">
        <f>AB213/VLOOKUP(S213,Data!$H$22:$I$25,2,FALSE)</f>
        <v>0</v>
      </c>
      <c r="AD213" s="22" t="s">
        <v>157</v>
      </c>
      <c r="AE213" s="146">
        <f>VLOOKUP(S213,Data!$H$22:$J$25,3,FALSE)*T213</f>
        <v>780</v>
      </c>
      <c r="AF213" s="8">
        <f>VLOOKUP(S213,Data!$H$22:$I$25,2,FALSE)*AE213</f>
        <v>780</v>
      </c>
      <c r="AG213" s="8" t="s">
        <v>158</v>
      </c>
      <c r="AH213" s="23">
        <v>0.05</v>
      </c>
      <c r="AI213" s="72"/>
      <c r="AJ213" s="159">
        <f t="shared" si="148"/>
        <v>0.05</v>
      </c>
      <c r="AK213" s="168">
        <f t="shared" si="181"/>
        <v>1300</v>
      </c>
      <c r="AL213" s="160">
        <f t="shared" si="182"/>
        <v>1300</v>
      </c>
      <c r="AM213" s="168">
        <f t="shared" si="149"/>
        <v>27300</v>
      </c>
      <c r="AN213" s="160">
        <f t="shared" si="150"/>
        <v>27300</v>
      </c>
      <c r="AO213" s="160" t="str">
        <f t="shared" si="183"/>
        <v>No</v>
      </c>
      <c r="AP213" s="146">
        <f>IF(AQ213=0,0,AQ213/VLOOKUP(S213,Data!$H$22:$I$25,2,FALSE))</f>
        <v>0</v>
      </c>
      <c r="AQ213" s="183">
        <f t="shared" si="151"/>
        <v>0</v>
      </c>
      <c r="AR213" s="165">
        <f t="shared" si="152"/>
        <v>1300</v>
      </c>
      <c r="AS213" s="183">
        <f t="shared" si="153"/>
        <v>1300</v>
      </c>
      <c r="AT213" s="250">
        <f t="shared" si="154"/>
        <v>0.05</v>
      </c>
      <c r="AU213" s="146">
        <f t="shared" si="155"/>
        <v>27300</v>
      </c>
      <c r="AV213" s="8">
        <f t="shared" si="156"/>
        <v>27300</v>
      </c>
      <c r="AW213" s="8" t="str">
        <f t="shared" si="157"/>
        <v/>
      </c>
      <c r="AX213" s="180">
        <f t="shared" si="158"/>
        <v>0.79245283018867929</v>
      </c>
      <c r="AY213" s="146">
        <f t="shared" si="159"/>
        <v>0</v>
      </c>
      <c r="AZ213" s="146">
        <f t="shared" si="160"/>
        <v>0</v>
      </c>
      <c r="BA213" s="22" t="s">
        <v>159</v>
      </c>
      <c r="BB213" s="149"/>
      <c r="BC213" s="149"/>
      <c r="BD213" s="144"/>
      <c r="BE213" s="146" t="str">
        <f t="shared" si="161"/>
        <v/>
      </c>
      <c r="BF213" s="8" t="str">
        <f t="shared" si="162"/>
        <v/>
      </c>
      <c r="BG213" s="8" t="str">
        <f>IF(LEN(BC213)&gt;0,VLOOKUP(BC213,'Job Codes'!B206:I324,7,FALSE),"")</f>
        <v/>
      </c>
      <c r="BH213" s="192" t="str">
        <f>IF(LEN(BC213)&gt;0,VLOOKUP(BC213,'Job Codes'!B206:I324,8,FALSE),"")</f>
        <v/>
      </c>
      <c r="BI213" s="192" t="str">
        <f>IF(LEN(BC213)&gt;0,VLOOKUP(BC213,'Job Codes'!$B$2:$J$120,9,FALSE),"")</f>
        <v/>
      </c>
      <c r="BJ213" s="146" t="str">
        <f>IF(LEN(BC213)&gt;0,VLOOKUP(BC213,'Job Codes'!$B$2:$I$120,4,FALSE),"")</f>
        <v/>
      </c>
      <c r="BK213" s="146" t="str">
        <f>IF(LEN(BC213)&gt;0,VLOOKUP(BC213,'Job Codes'!$B$2:$I$120,5,FALSE),"")</f>
        <v/>
      </c>
      <c r="BL213" s="146" t="str">
        <f>IF(LEN(BC213)&gt;0,VLOOKUP(BC213,'Job Codes'!$B$2:$I$120,6,FALSE),"")</f>
        <v/>
      </c>
      <c r="BM213" s="168">
        <f t="shared" si="163"/>
        <v>27300</v>
      </c>
      <c r="BN213" s="160">
        <f t="shared" si="164"/>
        <v>27300</v>
      </c>
      <c r="BO213" s="22" t="s">
        <v>157</v>
      </c>
      <c r="BP213" s="157">
        <f>VLOOKUP(I213,'Job Codes'!$B$2:$I$120,8,FALSE)</f>
        <v>0.05</v>
      </c>
      <c r="BQ213" s="25" t="str">
        <f>IF(O213&gt;Data!$H$33,"Yes","No")</f>
        <v>No</v>
      </c>
      <c r="BR213" s="191">
        <v>0.05</v>
      </c>
      <c r="BS213" s="150">
        <f t="shared" si="165"/>
        <v>1300</v>
      </c>
      <c r="BT213" s="25">
        <f t="shared" si="166"/>
        <v>1300</v>
      </c>
      <c r="BU213" s="161">
        <v>1</v>
      </c>
      <c r="BV213" s="168">
        <f t="shared" si="167"/>
        <v>1300</v>
      </c>
      <c r="BW213" s="160">
        <f t="shared" si="168"/>
        <v>1300</v>
      </c>
      <c r="BX213" s="149"/>
      <c r="BY213" s="32">
        <f t="shared" si="169"/>
        <v>0</v>
      </c>
      <c r="BZ213" s="22" t="s">
        <v>159</v>
      </c>
      <c r="CA213" s="231">
        <f>VLOOKUP(I213,'Job Codes'!$B$2:$J$120,9,FALSE)</f>
        <v>0</v>
      </c>
      <c r="CB213" s="253">
        <f t="shared" si="170"/>
        <v>0</v>
      </c>
      <c r="CC213" s="72"/>
      <c r="CD213" s="25" t="str">
        <f t="shared" si="171"/>
        <v>Exceeds</v>
      </c>
      <c r="CE213" s="27"/>
      <c r="CF213" s="27"/>
      <c r="CG213" s="27"/>
      <c r="CH213" s="27"/>
      <c r="CI213" s="27"/>
      <c r="CJ213" s="3">
        <v>11308</v>
      </c>
      <c r="CK213" s="3" t="s">
        <v>154</v>
      </c>
      <c r="CL213" s="3">
        <v>4569</v>
      </c>
      <c r="CM213" s="3" t="s">
        <v>161</v>
      </c>
      <c r="CN213" s="3">
        <v>4571</v>
      </c>
      <c r="CO213" s="3" t="s">
        <v>162</v>
      </c>
      <c r="CP213" s="3">
        <v>12345</v>
      </c>
      <c r="CQ213" s="3" t="s">
        <v>163</v>
      </c>
      <c r="CR213" s="246" t="s">
        <v>179</v>
      </c>
      <c r="CS213" s="247" t="s">
        <v>180</v>
      </c>
      <c r="CT213" s="246" t="s">
        <v>166</v>
      </c>
      <c r="CU213" s="247" t="s">
        <v>167</v>
      </c>
      <c r="CV213" s="3" t="str">
        <f t="shared" si="172"/>
        <v>90876;99485</v>
      </c>
      <c r="CW213" s="3" t="s">
        <v>168</v>
      </c>
      <c r="CX213" s="3" t="str">
        <f t="shared" si="173"/>
        <v>;;BB213:BD213;;CC213</v>
      </c>
      <c r="CY213" s="5" t="str">
        <f t="shared" si="174"/>
        <v>Unlock</v>
      </c>
      <c r="CZ213" s="5" t="str">
        <f t="shared" si="175"/>
        <v>Lock</v>
      </c>
      <c r="DA213" s="5" t="str">
        <f t="shared" si="176"/>
        <v>Lock</v>
      </c>
      <c r="DB213" s="5" t="str">
        <f t="shared" si="177"/>
        <v>Lock</v>
      </c>
      <c r="DC213" s="5" t="str">
        <f t="shared" si="178"/>
        <v>Lock</v>
      </c>
      <c r="DD213" s="78">
        <f t="shared" si="179"/>
        <v>2</v>
      </c>
      <c r="DE213" s="2"/>
      <c r="DF213" s="2"/>
      <c r="DG213" s="2"/>
      <c r="DH213" s="2"/>
      <c r="DI213" s="2"/>
      <c r="DJ213" s="2"/>
      <c r="DK213" s="5"/>
      <c r="DL213" s="2"/>
      <c r="DM213" s="2"/>
      <c r="DN213" s="2"/>
      <c r="DO213" s="2"/>
      <c r="DP213" s="2"/>
      <c r="DQ213" s="2"/>
      <c r="DR213" s="2"/>
      <c r="DS213" s="2"/>
      <c r="DT213" s="2"/>
      <c r="DU213" s="2"/>
      <c r="DV213" s="2"/>
      <c r="DW213" s="2"/>
      <c r="DX213" s="2"/>
      <c r="DY213" s="2"/>
      <c r="DZ213" s="2"/>
      <c r="EA213" s="2"/>
      <c r="EB213" s="2"/>
      <c r="EC213" s="2"/>
      <c r="ED213" s="2"/>
      <c r="EE213" s="2"/>
      <c r="EF213" s="1"/>
      <c r="EG213" s="98"/>
      <c r="EH213" s="98"/>
      <c r="EI213" s="1"/>
      <c r="EJ213" s="1"/>
      <c r="EK213" s="98"/>
      <c r="EL213" s="1"/>
    </row>
    <row r="214" spans="1:142">
      <c r="A214" s="32">
        <f t="shared" si="138"/>
        <v>28918</v>
      </c>
      <c r="B214" s="3" t="str">
        <f t="shared" si="139"/>
        <v>sv_statement//Statement//Export Statement&amp;PDFID=Tonya Coronado_28918&amp;SO=Y</v>
      </c>
      <c r="C214" s="5" t="str">
        <f t="shared" si="180"/>
        <v>Statement</v>
      </c>
      <c r="D214" s="5" t="str">
        <f t="shared" si="140"/>
        <v>Tonya Coronado_28918</v>
      </c>
      <c r="E214" s="5"/>
      <c r="F214" s="5">
        <v>28918</v>
      </c>
      <c r="G214" s="22" t="s">
        <v>524</v>
      </c>
      <c r="H214" s="5" t="s">
        <v>214</v>
      </c>
      <c r="I214" s="5" t="s">
        <v>270</v>
      </c>
      <c r="J214" s="5" t="s">
        <v>152</v>
      </c>
      <c r="K214" s="5" t="s">
        <v>480</v>
      </c>
      <c r="L214" s="31">
        <f t="shared" si="141"/>
        <v>11498</v>
      </c>
      <c r="M214" s="5" t="s">
        <v>197</v>
      </c>
      <c r="N214" s="22" t="s">
        <v>155</v>
      </c>
      <c r="O214" s="100">
        <v>40268</v>
      </c>
      <c r="P214" s="146">
        <f>VLOOKUP(I214,'Job Codes'!$B$2:$I$120,4,FALSE)</f>
        <v>33000</v>
      </c>
      <c r="Q214" s="146">
        <f>VLOOKUP(I214,'Job Codes'!$B$2:$I$120,5,FALSE)</f>
        <v>42900</v>
      </c>
      <c r="R214" s="146">
        <f>VLOOKUP(I214,'Job Codes'!$B$2:$I$120,6,FALSE)</f>
        <v>51480</v>
      </c>
      <c r="S214" s="22" t="s">
        <v>171</v>
      </c>
      <c r="T214" s="146">
        <v>24710</v>
      </c>
      <c r="U214" s="8">
        <f>VLOOKUP(S214,Data!$H$22:$I$25,2,FALSE)*T214</f>
        <v>24710</v>
      </c>
      <c r="V214" s="180">
        <f t="shared" si="142"/>
        <v>0.57599067599067599</v>
      </c>
      <c r="W214" s="180">
        <f t="shared" si="143"/>
        <v>0.73613921489275602</v>
      </c>
      <c r="X214" s="22" t="str">
        <f t="shared" si="144"/>
        <v>Yes</v>
      </c>
      <c r="Y214" s="180">
        <f t="shared" si="145"/>
        <v>0.02</v>
      </c>
      <c r="Z214" s="146">
        <f t="shared" si="146"/>
        <v>494.2</v>
      </c>
      <c r="AA214" s="146">
        <f t="shared" si="147"/>
        <v>494.2</v>
      </c>
      <c r="AB214" s="72"/>
      <c r="AC214" s="146">
        <f>AB214/VLOOKUP(S214,Data!$H$22:$I$25,2,FALSE)</f>
        <v>0</v>
      </c>
      <c r="AD214" s="22" t="s">
        <v>157</v>
      </c>
      <c r="AE214" s="146">
        <f>VLOOKUP(S214,Data!$H$22:$J$25,3,FALSE)*T214</f>
        <v>741.3</v>
      </c>
      <c r="AF214" s="8">
        <f>VLOOKUP(S214,Data!$H$22:$I$25,2,FALSE)*AE214</f>
        <v>741.3</v>
      </c>
      <c r="AG214" s="8" t="s">
        <v>178</v>
      </c>
      <c r="AH214" s="23">
        <v>0.02</v>
      </c>
      <c r="AI214" s="72"/>
      <c r="AJ214" s="159">
        <f t="shared" si="148"/>
        <v>0.02</v>
      </c>
      <c r="AK214" s="168">
        <f t="shared" si="181"/>
        <v>494.2</v>
      </c>
      <c r="AL214" s="160">
        <f t="shared" si="182"/>
        <v>494.2</v>
      </c>
      <c r="AM214" s="168">
        <f t="shared" si="149"/>
        <v>25204.2</v>
      </c>
      <c r="AN214" s="160">
        <f t="shared" si="150"/>
        <v>25204.2</v>
      </c>
      <c r="AO214" s="160" t="str">
        <f t="shared" si="183"/>
        <v>No</v>
      </c>
      <c r="AP214" s="146">
        <f>IF(AQ214=0,0,AQ214/VLOOKUP(S214,Data!$H$22:$I$25,2,FALSE))</f>
        <v>0</v>
      </c>
      <c r="AQ214" s="183">
        <f t="shared" si="151"/>
        <v>0</v>
      </c>
      <c r="AR214" s="165">
        <f t="shared" si="152"/>
        <v>494.2</v>
      </c>
      <c r="AS214" s="183">
        <f t="shared" si="153"/>
        <v>494.2</v>
      </c>
      <c r="AT214" s="250">
        <f t="shared" si="154"/>
        <v>0.02</v>
      </c>
      <c r="AU214" s="146">
        <f t="shared" si="155"/>
        <v>25204.2</v>
      </c>
      <c r="AV214" s="8">
        <f t="shared" si="156"/>
        <v>25204.2</v>
      </c>
      <c r="AW214" s="8" t="str">
        <f t="shared" si="157"/>
        <v/>
      </c>
      <c r="AX214" s="180">
        <f t="shared" si="158"/>
        <v>0.58751048951048956</v>
      </c>
      <c r="AY214" s="146">
        <f t="shared" si="159"/>
        <v>0</v>
      </c>
      <c r="AZ214" s="146">
        <f t="shared" si="160"/>
        <v>0</v>
      </c>
      <c r="BA214" s="22" t="s">
        <v>159</v>
      </c>
      <c r="BB214" s="149"/>
      <c r="BC214" s="149"/>
      <c r="BD214" s="144"/>
      <c r="BE214" s="146" t="str">
        <f t="shared" si="161"/>
        <v/>
      </c>
      <c r="BF214" s="8" t="str">
        <f t="shared" si="162"/>
        <v/>
      </c>
      <c r="BG214" s="8" t="str">
        <f>IF(LEN(BC214)&gt;0,VLOOKUP(BC214,'Job Codes'!B207:I325,7,FALSE),"")</f>
        <v/>
      </c>
      <c r="BH214" s="192" t="str">
        <f>IF(LEN(BC214)&gt;0,VLOOKUP(BC214,'Job Codes'!B207:I325,8,FALSE),"")</f>
        <v/>
      </c>
      <c r="BI214" s="192" t="str">
        <f>IF(LEN(BC214)&gt;0,VLOOKUP(BC214,'Job Codes'!$B$2:$J$120,9,FALSE),"")</f>
        <v/>
      </c>
      <c r="BJ214" s="146" t="str">
        <f>IF(LEN(BC214)&gt;0,VLOOKUP(BC214,'Job Codes'!$B$2:$I$120,4,FALSE),"")</f>
        <v/>
      </c>
      <c r="BK214" s="146" t="str">
        <f>IF(LEN(BC214)&gt;0,VLOOKUP(BC214,'Job Codes'!$B$2:$I$120,5,FALSE),"")</f>
        <v/>
      </c>
      <c r="BL214" s="146" t="str">
        <f>IF(LEN(BC214)&gt;0,VLOOKUP(BC214,'Job Codes'!$B$2:$I$120,6,FALSE),"")</f>
        <v/>
      </c>
      <c r="BM214" s="168">
        <f t="shared" si="163"/>
        <v>25204.2</v>
      </c>
      <c r="BN214" s="160">
        <f t="shared" si="164"/>
        <v>25204.2</v>
      </c>
      <c r="BO214" s="22" t="s">
        <v>157</v>
      </c>
      <c r="BP214" s="157">
        <f>VLOOKUP(I214,'Job Codes'!$B$2:$I$120,8,FALSE)</f>
        <v>0.1</v>
      </c>
      <c r="BQ214" s="25" t="str">
        <f>IF(O214&gt;Data!$H$33,"Yes","No")</f>
        <v>No</v>
      </c>
      <c r="BR214" s="191">
        <v>0.1</v>
      </c>
      <c r="BS214" s="150">
        <f t="shared" si="165"/>
        <v>2471</v>
      </c>
      <c r="BT214" s="25">
        <f t="shared" si="166"/>
        <v>2471</v>
      </c>
      <c r="BU214" s="161">
        <v>1</v>
      </c>
      <c r="BV214" s="168">
        <f t="shared" si="167"/>
        <v>2471</v>
      </c>
      <c r="BW214" s="160">
        <f t="shared" si="168"/>
        <v>2471</v>
      </c>
      <c r="BX214" s="149"/>
      <c r="BY214" s="32">
        <f t="shared" si="169"/>
        <v>0</v>
      </c>
      <c r="BZ214" s="22" t="s">
        <v>157</v>
      </c>
      <c r="CA214" s="231">
        <f>VLOOKUP(I214,'Job Codes'!$B$2:$J$120,9,FALSE)</f>
        <v>0.1</v>
      </c>
      <c r="CB214" s="253">
        <f t="shared" si="170"/>
        <v>2471</v>
      </c>
      <c r="CC214" s="72"/>
      <c r="CD214" s="25" t="str">
        <f t="shared" si="171"/>
        <v>Meets</v>
      </c>
      <c r="CE214" s="27"/>
      <c r="CF214" s="27"/>
      <c r="CG214" s="27"/>
      <c r="CH214" s="27"/>
      <c r="CI214" s="27"/>
      <c r="CJ214" s="3">
        <v>20714</v>
      </c>
      <c r="CK214" s="3" t="s">
        <v>198</v>
      </c>
      <c r="CL214" s="3">
        <v>4569</v>
      </c>
      <c r="CM214" s="3" t="s">
        <v>161</v>
      </c>
      <c r="CN214" s="3">
        <v>4571</v>
      </c>
      <c r="CO214" s="3" t="s">
        <v>162</v>
      </c>
      <c r="CP214" s="3">
        <v>12345</v>
      </c>
      <c r="CQ214" s="3" t="s">
        <v>163</v>
      </c>
      <c r="CR214" s="246" t="s">
        <v>166</v>
      </c>
      <c r="CS214" s="247" t="s">
        <v>167</v>
      </c>
      <c r="CT214" s="246" t="s">
        <v>199</v>
      </c>
      <c r="CU214" s="247" t="s">
        <v>200</v>
      </c>
      <c r="CV214" s="3" t="str">
        <f t="shared" si="172"/>
        <v>99485;36523</v>
      </c>
      <c r="CW214" s="3" t="s">
        <v>168</v>
      </c>
      <c r="CX214" s="3" t="str">
        <f t="shared" si="173"/>
        <v>;;BB214:BD214;;</v>
      </c>
      <c r="CY214" s="5" t="str">
        <f t="shared" si="174"/>
        <v>Unlock</v>
      </c>
      <c r="CZ214" s="5" t="str">
        <f t="shared" si="175"/>
        <v>Lock</v>
      </c>
      <c r="DA214" s="5" t="str">
        <f t="shared" si="176"/>
        <v>Lock</v>
      </c>
      <c r="DB214" s="5" t="str">
        <f t="shared" si="177"/>
        <v>Lock</v>
      </c>
      <c r="DC214" s="5" t="str">
        <f t="shared" si="178"/>
        <v>Lock</v>
      </c>
      <c r="DD214" s="78">
        <f t="shared" si="179"/>
        <v>2</v>
      </c>
      <c r="DE214" s="2"/>
      <c r="DF214" s="2"/>
      <c r="DG214" s="2"/>
      <c r="DH214" s="2"/>
      <c r="DI214" s="2"/>
      <c r="DJ214" s="2"/>
      <c r="DK214" s="5"/>
      <c r="DL214" s="2"/>
      <c r="DM214" s="2"/>
      <c r="DN214" s="2"/>
      <c r="DO214" s="2"/>
      <c r="DP214" s="2"/>
      <c r="DQ214" s="2"/>
      <c r="DR214" s="2"/>
      <c r="DS214" s="2"/>
      <c r="DT214" s="2"/>
      <c r="DU214" s="2"/>
      <c r="DV214" s="2"/>
      <c r="DW214" s="2"/>
      <c r="DX214" s="2"/>
      <c r="DY214" s="2"/>
      <c r="DZ214" s="2"/>
      <c r="EA214" s="2"/>
      <c r="EB214" s="2"/>
      <c r="EC214" s="2"/>
      <c r="ED214" s="2"/>
      <c r="EE214" s="2"/>
      <c r="EF214" s="1"/>
      <c r="EG214" s="98"/>
      <c r="EH214" s="98"/>
      <c r="EI214" s="1"/>
      <c r="EJ214" s="1"/>
      <c r="EK214" s="98"/>
      <c r="EL214" s="1"/>
    </row>
    <row r="215" spans="1:142">
      <c r="A215" s="32">
        <f t="shared" si="138"/>
        <v>28953</v>
      </c>
      <c r="B215" s="3" t="str">
        <f t="shared" si="139"/>
        <v>sv_statement//Statement//Export Statement&amp;PDFID=Harold Jeffries_28953&amp;SO=Y</v>
      </c>
      <c r="C215" s="5" t="str">
        <f t="shared" si="180"/>
        <v>Statement</v>
      </c>
      <c r="D215" s="5" t="str">
        <f t="shared" si="140"/>
        <v>Harold Jeffries_28953</v>
      </c>
      <c r="E215" s="5"/>
      <c r="F215" s="5">
        <v>28953</v>
      </c>
      <c r="G215" s="22" t="s">
        <v>525</v>
      </c>
      <c r="H215" s="5" t="s">
        <v>341</v>
      </c>
      <c r="I215" s="5" t="s">
        <v>504</v>
      </c>
      <c r="J215" s="5" t="s">
        <v>152</v>
      </c>
      <c r="K215" s="5" t="s">
        <v>153</v>
      </c>
      <c r="L215" s="31">
        <f t="shared" si="141"/>
        <v>11351</v>
      </c>
      <c r="M215" s="5" t="s">
        <v>177</v>
      </c>
      <c r="N215" s="22" t="s">
        <v>155</v>
      </c>
      <c r="O215" s="100">
        <v>40260</v>
      </c>
      <c r="P215" s="146">
        <f>VLOOKUP(I215,'Job Codes'!$B$2:$I$120,4,FALSE)</f>
        <v>26500</v>
      </c>
      <c r="Q215" s="146">
        <f>VLOOKUP(I215,'Job Codes'!$B$2:$I$120,5,FALSE)</f>
        <v>34450</v>
      </c>
      <c r="R215" s="146">
        <f>VLOOKUP(I215,'Job Codes'!$B$2:$I$120,6,FALSE)</f>
        <v>41340</v>
      </c>
      <c r="S215" s="22" t="s">
        <v>171</v>
      </c>
      <c r="T215" s="146">
        <v>26000</v>
      </c>
      <c r="U215" s="8">
        <f>VLOOKUP(S215,Data!$H$22:$I$25,2,FALSE)*T215</f>
        <v>26000</v>
      </c>
      <c r="V215" s="180">
        <f t="shared" si="142"/>
        <v>0.75471698113207553</v>
      </c>
      <c r="W215" s="180">
        <f t="shared" si="143"/>
        <v>0.32500000000000001</v>
      </c>
      <c r="X215" s="22" t="str">
        <f t="shared" si="144"/>
        <v>Yes</v>
      </c>
      <c r="Y215" s="180">
        <f t="shared" si="145"/>
        <v>0.02</v>
      </c>
      <c r="Z215" s="146">
        <f t="shared" si="146"/>
        <v>520</v>
      </c>
      <c r="AA215" s="146">
        <f t="shared" si="147"/>
        <v>520</v>
      </c>
      <c r="AB215" s="72"/>
      <c r="AC215" s="146">
        <f>AB215/VLOOKUP(S215,Data!$H$22:$I$25,2,FALSE)</f>
        <v>0</v>
      </c>
      <c r="AD215" s="22" t="s">
        <v>157</v>
      </c>
      <c r="AE215" s="146">
        <f>VLOOKUP(S215,Data!$H$22:$J$25,3,FALSE)*T215</f>
        <v>780</v>
      </c>
      <c r="AF215" s="8">
        <f>VLOOKUP(S215,Data!$H$22:$I$25,2,FALSE)*AE215</f>
        <v>780</v>
      </c>
      <c r="AG215" s="8" t="s">
        <v>172</v>
      </c>
      <c r="AH215" s="23">
        <v>0</v>
      </c>
      <c r="AI215" s="72"/>
      <c r="AJ215" s="159">
        <f t="shared" si="148"/>
        <v>0</v>
      </c>
      <c r="AK215" s="168">
        <f t="shared" si="181"/>
        <v>0</v>
      </c>
      <c r="AL215" s="160">
        <f t="shared" si="182"/>
        <v>0</v>
      </c>
      <c r="AM215" s="168">
        <f t="shared" si="149"/>
        <v>26000</v>
      </c>
      <c r="AN215" s="160">
        <f t="shared" si="150"/>
        <v>26000</v>
      </c>
      <c r="AO215" s="160" t="str">
        <f t="shared" si="183"/>
        <v>No</v>
      </c>
      <c r="AP215" s="146">
        <f>IF(AQ215=0,0,AQ215/VLOOKUP(S215,Data!$H$22:$I$25,2,FALSE))</f>
        <v>0</v>
      </c>
      <c r="AQ215" s="183">
        <f t="shared" si="151"/>
        <v>0</v>
      </c>
      <c r="AR215" s="165">
        <f t="shared" si="152"/>
        <v>0</v>
      </c>
      <c r="AS215" s="183">
        <f t="shared" si="153"/>
        <v>0</v>
      </c>
      <c r="AT215" s="250">
        <f t="shared" si="154"/>
        <v>0</v>
      </c>
      <c r="AU215" s="146">
        <f t="shared" si="155"/>
        <v>26000</v>
      </c>
      <c r="AV215" s="8">
        <f t="shared" si="156"/>
        <v>26000</v>
      </c>
      <c r="AW215" s="8" t="str">
        <f t="shared" si="157"/>
        <v/>
      </c>
      <c r="AX215" s="180">
        <f t="shared" si="158"/>
        <v>0.75471698113207553</v>
      </c>
      <c r="AY215" s="146">
        <f t="shared" si="159"/>
        <v>0</v>
      </c>
      <c r="AZ215" s="146">
        <f t="shared" si="160"/>
        <v>0</v>
      </c>
      <c r="BA215" s="22" t="s">
        <v>159</v>
      </c>
      <c r="BB215" s="149"/>
      <c r="BC215" s="149"/>
      <c r="BD215" s="144"/>
      <c r="BE215" s="146" t="str">
        <f t="shared" si="161"/>
        <v/>
      </c>
      <c r="BF215" s="8" t="str">
        <f t="shared" si="162"/>
        <v/>
      </c>
      <c r="BG215" s="8" t="str">
        <f>IF(LEN(BC215)&gt;0,VLOOKUP(BC215,'Job Codes'!B208:I326,7,FALSE),"")</f>
        <v/>
      </c>
      <c r="BH215" s="192" t="str">
        <f>IF(LEN(BC215)&gt;0,VLOOKUP(BC215,'Job Codes'!B208:I326,8,FALSE),"")</f>
        <v/>
      </c>
      <c r="BI215" s="192" t="str">
        <f>IF(LEN(BC215)&gt;0,VLOOKUP(BC215,'Job Codes'!$B$2:$J$120,9,FALSE),"")</f>
        <v/>
      </c>
      <c r="BJ215" s="146" t="str">
        <f>IF(LEN(BC215)&gt;0,VLOOKUP(BC215,'Job Codes'!$B$2:$I$120,4,FALSE),"")</f>
        <v/>
      </c>
      <c r="BK215" s="146" t="str">
        <f>IF(LEN(BC215)&gt;0,VLOOKUP(BC215,'Job Codes'!$B$2:$I$120,5,FALSE),"")</f>
        <v/>
      </c>
      <c r="BL215" s="146" t="str">
        <f>IF(LEN(BC215)&gt;0,VLOOKUP(BC215,'Job Codes'!$B$2:$I$120,6,FALSE),"")</f>
        <v/>
      </c>
      <c r="BM215" s="168">
        <f t="shared" si="163"/>
        <v>26000</v>
      </c>
      <c r="BN215" s="160">
        <f t="shared" si="164"/>
        <v>26000</v>
      </c>
      <c r="BO215" s="22" t="s">
        <v>157</v>
      </c>
      <c r="BP215" s="157">
        <f>VLOOKUP(I215,'Job Codes'!$B$2:$I$120,8,FALSE)</f>
        <v>0.05</v>
      </c>
      <c r="BQ215" s="25" t="str">
        <f>IF(O215&gt;Data!$H$33,"Yes","No")</f>
        <v>No</v>
      </c>
      <c r="BR215" s="191">
        <v>0.05</v>
      </c>
      <c r="BS215" s="150">
        <f t="shared" si="165"/>
        <v>1300</v>
      </c>
      <c r="BT215" s="25">
        <f t="shared" si="166"/>
        <v>1300</v>
      </c>
      <c r="BU215" s="161">
        <v>1</v>
      </c>
      <c r="BV215" s="168">
        <f t="shared" si="167"/>
        <v>1300</v>
      </c>
      <c r="BW215" s="160">
        <f t="shared" si="168"/>
        <v>1300</v>
      </c>
      <c r="BX215" s="149"/>
      <c r="BY215" s="32">
        <f t="shared" si="169"/>
        <v>0</v>
      </c>
      <c r="BZ215" s="22" t="s">
        <v>159</v>
      </c>
      <c r="CA215" s="231">
        <f>VLOOKUP(I215,'Job Codes'!$B$2:$J$120,9,FALSE)</f>
        <v>0</v>
      </c>
      <c r="CB215" s="253">
        <f t="shared" si="170"/>
        <v>0</v>
      </c>
      <c r="CC215" s="72"/>
      <c r="CD215" s="25" t="str">
        <f t="shared" si="171"/>
        <v>Below</v>
      </c>
      <c r="CE215" s="27"/>
      <c r="CF215" s="27"/>
      <c r="CG215" s="27"/>
      <c r="CH215" s="27"/>
      <c r="CI215" s="27"/>
      <c r="CJ215" s="3">
        <v>11308</v>
      </c>
      <c r="CK215" s="3" t="s">
        <v>154</v>
      </c>
      <c r="CL215" s="3">
        <v>4569</v>
      </c>
      <c r="CM215" s="3" t="s">
        <v>161</v>
      </c>
      <c r="CN215" s="3">
        <v>4571</v>
      </c>
      <c r="CO215" s="3" t="s">
        <v>162</v>
      </c>
      <c r="CP215" s="3">
        <v>12345</v>
      </c>
      <c r="CQ215" s="3" t="s">
        <v>163</v>
      </c>
      <c r="CR215" s="246" t="s">
        <v>179</v>
      </c>
      <c r="CS215" s="247" t="s">
        <v>180</v>
      </c>
      <c r="CT215" s="246" t="s">
        <v>166</v>
      </c>
      <c r="CU215" s="247" t="s">
        <v>167</v>
      </c>
      <c r="CV215" s="3" t="str">
        <f t="shared" si="172"/>
        <v>90876;99485</v>
      </c>
      <c r="CW215" s="3" t="s">
        <v>168</v>
      </c>
      <c r="CX215" s="3" t="str">
        <f t="shared" si="173"/>
        <v>;;BB215:BD215;;CC215</v>
      </c>
      <c r="CY215" s="5" t="str">
        <f t="shared" si="174"/>
        <v>Unlock</v>
      </c>
      <c r="CZ215" s="5" t="str">
        <f t="shared" si="175"/>
        <v>Lock</v>
      </c>
      <c r="DA215" s="5" t="str">
        <f t="shared" si="176"/>
        <v>Lock</v>
      </c>
      <c r="DB215" s="5" t="str">
        <f t="shared" si="177"/>
        <v>Lock</v>
      </c>
      <c r="DC215" s="5" t="str">
        <f t="shared" si="178"/>
        <v>Lock</v>
      </c>
      <c r="DD215" s="78">
        <f t="shared" si="179"/>
        <v>2</v>
      </c>
      <c r="DE215" s="2"/>
      <c r="DF215" s="2"/>
      <c r="DG215" s="2"/>
      <c r="DH215" s="2"/>
      <c r="DI215" s="2"/>
      <c r="DJ215" s="2"/>
      <c r="DK215" s="5"/>
      <c r="DL215" s="2"/>
      <c r="DM215" s="2"/>
      <c r="DN215" s="2"/>
      <c r="DO215" s="2"/>
      <c r="DP215" s="2"/>
      <c r="DQ215" s="2"/>
      <c r="DR215" s="2"/>
      <c r="DS215" s="2"/>
      <c r="DT215" s="2"/>
      <c r="DU215" s="2"/>
      <c r="DV215" s="2"/>
      <c r="DW215" s="2"/>
      <c r="DX215" s="2"/>
      <c r="DY215" s="2"/>
      <c r="DZ215" s="2"/>
      <c r="EA215" s="2"/>
      <c r="EB215" s="2"/>
      <c r="EC215" s="2"/>
      <c r="ED215" s="2"/>
      <c r="EE215" s="2"/>
      <c r="EF215" s="1"/>
      <c r="EG215" s="98"/>
      <c r="EH215" s="98"/>
      <c r="EI215" s="1"/>
      <c r="EJ215" s="1"/>
      <c r="EK215" s="98"/>
      <c r="EL215" s="1"/>
    </row>
    <row r="216" spans="1:142">
      <c r="A216" s="32">
        <f t="shared" si="138"/>
        <v>29269</v>
      </c>
      <c r="B216" s="3" t="str">
        <f t="shared" si="139"/>
        <v>sv_statement//Statement//Export Statement&amp;PDFID=Leonard Schell_29269&amp;SO=Y</v>
      </c>
      <c r="C216" s="5" t="str">
        <f t="shared" si="180"/>
        <v>Statement</v>
      </c>
      <c r="D216" s="5" t="str">
        <f t="shared" si="140"/>
        <v>Leonard Schell_29269</v>
      </c>
      <c r="E216" s="5"/>
      <c r="F216" s="5">
        <v>29269</v>
      </c>
      <c r="G216" s="22" t="s">
        <v>287</v>
      </c>
      <c r="H216" s="5" t="s">
        <v>367</v>
      </c>
      <c r="I216" s="5" t="s">
        <v>436</v>
      </c>
      <c r="J216" s="5" t="s">
        <v>220</v>
      </c>
      <c r="K216" s="5" t="s">
        <v>221</v>
      </c>
      <c r="L216" s="31">
        <f t="shared" si="141"/>
        <v>29271</v>
      </c>
      <c r="M216" s="5" t="s">
        <v>255</v>
      </c>
      <c r="N216" s="22" t="s">
        <v>155</v>
      </c>
      <c r="O216" s="100">
        <v>39202</v>
      </c>
      <c r="P216" s="146">
        <f>VLOOKUP(I216,'Job Codes'!$B$2:$I$120,4,FALSE)</f>
        <v>33000</v>
      </c>
      <c r="Q216" s="146">
        <f>VLOOKUP(I216,'Job Codes'!$B$2:$I$120,5,FALSE)</f>
        <v>42900</v>
      </c>
      <c r="R216" s="146">
        <f>VLOOKUP(I216,'Job Codes'!$B$2:$I$120,6,FALSE)</f>
        <v>51480</v>
      </c>
      <c r="S216" s="22" t="s">
        <v>171</v>
      </c>
      <c r="T216" s="146">
        <v>55676</v>
      </c>
      <c r="U216" s="8">
        <f>VLOOKUP(S216,Data!$H$22:$I$25,2,FALSE)*T216</f>
        <v>55676</v>
      </c>
      <c r="V216" s="180">
        <f t="shared" si="142"/>
        <v>1.2978088578088578</v>
      </c>
      <c r="W216" s="180">
        <f t="shared" si="143"/>
        <v>0</v>
      </c>
      <c r="X216" s="22" t="str">
        <f t="shared" si="144"/>
        <v>No</v>
      </c>
      <c r="Y216" s="180">
        <f t="shared" si="145"/>
        <v>0</v>
      </c>
      <c r="Z216" s="146">
        <f t="shared" si="146"/>
        <v>0</v>
      </c>
      <c r="AA216" s="146">
        <f t="shared" si="147"/>
        <v>0</v>
      </c>
      <c r="AB216" s="72"/>
      <c r="AC216" s="146">
        <f>AB216/VLOOKUP(S216,Data!$H$22:$I$25,2,FALSE)</f>
        <v>0</v>
      </c>
      <c r="AD216" s="22" t="s">
        <v>157</v>
      </c>
      <c r="AE216" s="146">
        <f>VLOOKUP(S216,Data!$H$22:$J$25,3,FALSE)*T216</f>
        <v>1670.28</v>
      </c>
      <c r="AF216" s="8">
        <f>VLOOKUP(S216,Data!$H$22:$I$25,2,FALSE)*AE216</f>
        <v>1670.28</v>
      </c>
      <c r="AG216" s="8" t="s">
        <v>178</v>
      </c>
      <c r="AH216" s="23">
        <v>0.02</v>
      </c>
      <c r="AI216" s="72"/>
      <c r="AJ216" s="159">
        <f t="shared" si="148"/>
        <v>0.02</v>
      </c>
      <c r="AK216" s="168">
        <f t="shared" si="181"/>
        <v>1113.52</v>
      </c>
      <c r="AL216" s="160">
        <f t="shared" si="182"/>
        <v>1113.52</v>
      </c>
      <c r="AM216" s="168">
        <f t="shared" si="149"/>
        <v>56789.52</v>
      </c>
      <c r="AN216" s="160">
        <f t="shared" si="150"/>
        <v>56789.52</v>
      </c>
      <c r="AO216" s="160" t="str">
        <f t="shared" si="183"/>
        <v>Yes by USD 5,310</v>
      </c>
      <c r="AP216" s="146">
        <f>IF(AQ216=0,0,AQ216/VLOOKUP(S216,Data!$H$22:$I$25,2,FALSE))</f>
        <v>1113.52</v>
      </c>
      <c r="AQ216" s="183">
        <f t="shared" si="151"/>
        <v>1113.52</v>
      </c>
      <c r="AR216" s="165">
        <f t="shared" si="152"/>
        <v>0</v>
      </c>
      <c r="AS216" s="183">
        <f t="shared" si="153"/>
        <v>0</v>
      </c>
      <c r="AT216" s="250">
        <f t="shared" si="154"/>
        <v>0</v>
      </c>
      <c r="AU216" s="146">
        <f t="shared" si="155"/>
        <v>55676</v>
      </c>
      <c r="AV216" s="8">
        <f t="shared" si="156"/>
        <v>55676</v>
      </c>
      <c r="AW216" s="8" t="str">
        <f t="shared" si="157"/>
        <v>Employee to receive full proposed merit increase as a lump sum</v>
      </c>
      <c r="AX216" s="180">
        <f t="shared" si="158"/>
        <v>1.2978088578088578</v>
      </c>
      <c r="AY216" s="146">
        <f t="shared" si="159"/>
        <v>0</v>
      </c>
      <c r="AZ216" s="146">
        <f t="shared" si="160"/>
        <v>0</v>
      </c>
      <c r="BA216" s="22" t="s">
        <v>159</v>
      </c>
      <c r="BB216" s="149"/>
      <c r="BC216" s="149"/>
      <c r="BD216" s="144"/>
      <c r="BE216" s="146" t="str">
        <f t="shared" si="161"/>
        <v/>
      </c>
      <c r="BF216" s="8" t="str">
        <f t="shared" si="162"/>
        <v/>
      </c>
      <c r="BG216" s="8" t="str">
        <f>IF(LEN(BC216)&gt;0,VLOOKUP(BC216,'Job Codes'!B209:I327,7,FALSE),"")</f>
        <v/>
      </c>
      <c r="BH216" s="192" t="str">
        <f>IF(LEN(BC216)&gt;0,VLOOKUP(BC216,'Job Codes'!B209:I327,8,FALSE),"")</f>
        <v/>
      </c>
      <c r="BI216" s="192" t="str">
        <f>IF(LEN(BC216)&gt;0,VLOOKUP(BC216,'Job Codes'!$B$2:$J$120,9,FALSE),"")</f>
        <v/>
      </c>
      <c r="BJ216" s="146" t="str">
        <f>IF(LEN(BC216)&gt;0,VLOOKUP(BC216,'Job Codes'!$B$2:$I$120,4,FALSE),"")</f>
        <v/>
      </c>
      <c r="BK216" s="146" t="str">
        <f>IF(LEN(BC216)&gt;0,VLOOKUP(BC216,'Job Codes'!$B$2:$I$120,5,FALSE),"")</f>
        <v/>
      </c>
      <c r="BL216" s="146" t="str">
        <f>IF(LEN(BC216)&gt;0,VLOOKUP(BC216,'Job Codes'!$B$2:$I$120,6,FALSE),"")</f>
        <v/>
      </c>
      <c r="BM216" s="168">
        <f t="shared" si="163"/>
        <v>55676</v>
      </c>
      <c r="BN216" s="160">
        <f t="shared" si="164"/>
        <v>55676</v>
      </c>
      <c r="BO216" s="22" t="s">
        <v>157</v>
      </c>
      <c r="BP216" s="157">
        <f>VLOOKUP(I216,'Job Codes'!$B$2:$I$120,8,FALSE)</f>
        <v>0.1</v>
      </c>
      <c r="BQ216" s="25" t="str">
        <f>IF(O216&gt;Data!$H$33,"Yes","No")</f>
        <v>No</v>
      </c>
      <c r="BR216" s="191">
        <v>0.1</v>
      </c>
      <c r="BS216" s="150">
        <f t="shared" si="165"/>
        <v>5567.6</v>
      </c>
      <c r="BT216" s="25">
        <f t="shared" si="166"/>
        <v>5567.6</v>
      </c>
      <c r="BU216" s="161">
        <v>1</v>
      </c>
      <c r="BV216" s="168">
        <f t="shared" si="167"/>
        <v>5567.6</v>
      </c>
      <c r="BW216" s="160">
        <f t="shared" si="168"/>
        <v>5567.6</v>
      </c>
      <c r="BX216" s="149"/>
      <c r="BY216" s="32">
        <f t="shared" si="169"/>
        <v>0</v>
      </c>
      <c r="BZ216" s="22" t="s">
        <v>157</v>
      </c>
      <c r="CA216" s="231">
        <f>VLOOKUP(I216,'Job Codes'!$B$2:$J$120,9,FALSE)</f>
        <v>0.1</v>
      </c>
      <c r="CB216" s="253">
        <f t="shared" si="170"/>
        <v>5567.6</v>
      </c>
      <c r="CC216" s="72"/>
      <c r="CD216" s="25" t="str">
        <f t="shared" si="171"/>
        <v>Meets</v>
      </c>
      <c r="CE216" s="27"/>
      <c r="CF216" s="27"/>
      <c r="CG216" s="27"/>
      <c r="CH216" s="27"/>
      <c r="CI216" s="27"/>
      <c r="CJ216" s="3"/>
      <c r="CK216" s="3"/>
      <c r="CL216" s="3"/>
      <c r="CM216" s="3"/>
      <c r="CN216" s="3">
        <v>4571</v>
      </c>
      <c r="CO216" s="3" t="s">
        <v>162</v>
      </c>
      <c r="CP216" s="3">
        <v>12345</v>
      </c>
      <c r="CQ216" s="3" t="s">
        <v>163</v>
      </c>
      <c r="CR216" s="246" t="s">
        <v>256</v>
      </c>
      <c r="CS216" s="247" t="s">
        <v>257</v>
      </c>
      <c r="CT216" s="246" t="s">
        <v>199</v>
      </c>
      <c r="CU216" s="247" t="s">
        <v>200</v>
      </c>
      <c r="CV216" s="3" t="str">
        <f t="shared" si="172"/>
        <v>86672;36523</v>
      </c>
      <c r="CW216" s="3" t="s">
        <v>168</v>
      </c>
      <c r="CX216" s="3" t="str">
        <f t="shared" si="173"/>
        <v>AB216;;BB216:BD216;;</v>
      </c>
      <c r="CY216" s="5" t="str">
        <f t="shared" si="174"/>
        <v>Unlock</v>
      </c>
      <c r="CZ216" s="5" t="str">
        <f t="shared" si="175"/>
        <v>Lock</v>
      </c>
      <c r="DA216" s="5" t="str">
        <f t="shared" si="176"/>
        <v>Lock</v>
      </c>
      <c r="DB216" s="5" t="str">
        <f t="shared" si="177"/>
        <v>Lock</v>
      </c>
      <c r="DC216" s="5" t="str">
        <f t="shared" si="178"/>
        <v>Lock</v>
      </c>
      <c r="DD216" s="78">
        <f t="shared" si="179"/>
        <v>4</v>
      </c>
      <c r="DE216" s="2"/>
      <c r="DF216" s="2"/>
      <c r="DG216" s="2"/>
      <c r="DH216" s="2"/>
      <c r="DI216" s="2"/>
      <c r="DJ216" s="2"/>
      <c r="DK216" s="5"/>
      <c r="DL216" s="2"/>
      <c r="DM216" s="2"/>
      <c r="DN216" s="2"/>
      <c r="DO216" s="2"/>
      <c r="DP216" s="2"/>
      <c r="DQ216" s="2"/>
      <c r="DR216" s="2"/>
      <c r="DS216" s="2"/>
      <c r="DT216" s="2"/>
      <c r="DU216" s="2"/>
      <c r="DV216" s="2"/>
      <c r="DW216" s="2"/>
      <c r="DX216" s="2"/>
      <c r="DY216" s="2"/>
      <c r="DZ216" s="2"/>
      <c r="EA216" s="2"/>
      <c r="EB216" s="2"/>
      <c r="EC216" s="2"/>
      <c r="ED216" s="2"/>
      <c r="EE216" s="2"/>
      <c r="EF216" s="1"/>
      <c r="EG216" s="98"/>
      <c r="EH216" s="98"/>
      <c r="EI216" s="1"/>
      <c r="EJ216" s="1"/>
      <c r="EK216" s="98"/>
      <c r="EL216" s="1"/>
    </row>
    <row r="217" spans="1:142">
      <c r="A217" s="32">
        <f t="shared" si="138"/>
        <v>29271</v>
      </c>
      <c r="B217" s="3" t="str">
        <f t="shared" si="139"/>
        <v>sv_statement//Statement//Export Statement&amp;PDFID=Eugene Coe_29271&amp;SO=Y</v>
      </c>
      <c r="C217" s="5" t="str">
        <f t="shared" si="180"/>
        <v>Statement</v>
      </c>
      <c r="D217" s="5" t="str">
        <f t="shared" si="140"/>
        <v>Eugene Coe_29271</v>
      </c>
      <c r="E217" s="5"/>
      <c r="F217" s="5">
        <v>29271</v>
      </c>
      <c r="G217" s="22" t="s">
        <v>255</v>
      </c>
      <c r="H217" s="5"/>
      <c r="I217" s="5" t="s">
        <v>526</v>
      </c>
      <c r="J217" s="5" t="s">
        <v>220</v>
      </c>
      <c r="K217" s="5" t="s">
        <v>328</v>
      </c>
      <c r="L217" s="31">
        <f t="shared" si="141"/>
        <v>4569</v>
      </c>
      <c r="M217" s="5" t="s">
        <v>161</v>
      </c>
      <c r="N217" s="22" t="s">
        <v>155</v>
      </c>
      <c r="O217" s="100">
        <v>39202</v>
      </c>
      <c r="P217" s="146">
        <f>VLOOKUP(I217,'Job Codes'!$B$2:$I$120,4,FALSE)</f>
        <v>66000</v>
      </c>
      <c r="Q217" s="146">
        <f>VLOOKUP(I217,'Job Codes'!$B$2:$I$120,5,FALSE)</f>
        <v>85800</v>
      </c>
      <c r="R217" s="146">
        <f>VLOOKUP(I217,'Job Codes'!$B$2:$I$120,6,FALSE)</f>
        <v>102960</v>
      </c>
      <c r="S217" s="22" t="s">
        <v>171</v>
      </c>
      <c r="T217" s="146">
        <v>64567</v>
      </c>
      <c r="U217" s="8">
        <f>VLOOKUP(S217,Data!$H$22:$I$25,2,FALSE)*T217</f>
        <v>64567</v>
      </c>
      <c r="V217" s="180">
        <f t="shared" si="142"/>
        <v>0.75252913752913753</v>
      </c>
      <c r="W217" s="180">
        <f t="shared" si="143"/>
        <v>0.32885220004026827</v>
      </c>
      <c r="X217" s="22" t="str">
        <f t="shared" si="144"/>
        <v>Yes</v>
      </c>
      <c r="Y217" s="180">
        <f t="shared" si="145"/>
        <v>0.02</v>
      </c>
      <c r="Z217" s="146">
        <f t="shared" si="146"/>
        <v>1291.3399999999999</v>
      </c>
      <c r="AA217" s="146">
        <f t="shared" si="147"/>
        <v>1291.3399999999999</v>
      </c>
      <c r="AB217" s="72"/>
      <c r="AC217" s="146">
        <f>AB217/VLOOKUP(S217,Data!$H$22:$I$25,2,FALSE)</f>
        <v>0</v>
      </c>
      <c r="AD217" s="22" t="s">
        <v>157</v>
      </c>
      <c r="AE217" s="146">
        <f>VLOOKUP(S217,Data!$H$22:$J$25,3,FALSE)*T217</f>
        <v>1937.01</v>
      </c>
      <c r="AF217" s="8">
        <f>VLOOKUP(S217,Data!$H$22:$I$25,2,FALSE)*AE217</f>
        <v>1937.01</v>
      </c>
      <c r="AG217" s="8" t="s">
        <v>158</v>
      </c>
      <c r="AH217" s="23">
        <v>0.05</v>
      </c>
      <c r="AI217" s="72"/>
      <c r="AJ217" s="159">
        <f t="shared" si="148"/>
        <v>0.05</v>
      </c>
      <c r="AK217" s="168">
        <f t="shared" si="181"/>
        <v>3228.3500000000004</v>
      </c>
      <c r="AL217" s="160">
        <f t="shared" si="182"/>
        <v>3228.3500000000004</v>
      </c>
      <c r="AM217" s="168">
        <f t="shared" si="149"/>
        <v>67795.350000000006</v>
      </c>
      <c r="AN217" s="160">
        <f t="shared" si="150"/>
        <v>67795.350000000006</v>
      </c>
      <c r="AO217" s="160" t="str">
        <f t="shared" si="183"/>
        <v>No</v>
      </c>
      <c r="AP217" s="146">
        <f>IF(AQ217=0,0,AQ217/VLOOKUP(S217,Data!$H$22:$I$25,2,FALSE))</f>
        <v>0</v>
      </c>
      <c r="AQ217" s="183">
        <f t="shared" si="151"/>
        <v>0</v>
      </c>
      <c r="AR217" s="165">
        <f t="shared" si="152"/>
        <v>3228.3500000000004</v>
      </c>
      <c r="AS217" s="183">
        <f t="shared" si="153"/>
        <v>3228.3500000000004</v>
      </c>
      <c r="AT217" s="250">
        <f t="shared" si="154"/>
        <v>0.05</v>
      </c>
      <c r="AU217" s="146">
        <f t="shared" si="155"/>
        <v>67795.350000000006</v>
      </c>
      <c r="AV217" s="8">
        <f t="shared" si="156"/>
        <v>67795.350000000006</v>
      </c>
      <c r="AW217" s="8" t="str">
        <f t="shared" si="157"/>
        <v/>
      </c>
      <c r="AX217" s="180">
        <f t="shared" si="158"/>
        <v>0.79015559440559446</v>
      </c>
      <c r="AY217" s="146">
        <f t="shared" si="159"/>
        <v>0</v>
      </c>
      <c r="AZ217" s="146">
        <f t="shared" si="160"/>
        <v>0</v>
      </c>
      <c r="BA217" s="22" t="s">
        <v>159</v>
      </c>
      <c r="BB217" s="149"/>
      <c r="BC217" s="149"/>
      <c r="BD217" s="144"/>
      <c r="BE217" s="146" t="str">
        <f t="shared" si="161"/>
        <v/>
      </c>
      <c r="BF217" s="8" t="str">
        <f t="shared" si="162"/>
        <v/>
      </c>
      <c r="BG217" s="8" t="str">
        <f>IF(LEN(BC217)&gt;0,VLOOKUP(BC217,'Job Codes'!B210:I328,7,FALSE),"")</f>
        <v/>
      </c>
      <c r="BH217" s="192" t="str">
        <f>IF(LEN(BC217)&gt;0,VLOOKUP(BC217,'Job Codes'!B210:I328,8,FALSE),"")</f>
        <v/>
      </c>
      <c r="BI217" s="192" t="str">
        <f>IF(LEN(BC217)&gt;0,VLOOKUP(BC217,'Job Codes'!$B$2:$J$120,9,FALSE),"")</f>
        <v/>
      </c>
      <c r="BJ217" s="146" t="str">
        <f>IF(LEN(BC217)&gt;0,VLOOKUP(BC217,'Job Codes'!$B$2:$I$120,4,FALSE),"")</f>
        <v/>
      </c>
      <c r="BK217" s="146" t="str">
        <f>IF(LEN(BC217)&gt;0,VLOOKUP(BC217,'Job Codes'!$B$2:$I$120,5,FALSE),"")</f>
        <v/>
      </c>
      <c r="BL217" s="146" t="str">
        <f>IF(LEN(BC217)&gt;0,VLOOKUP(BC217,'Job Codes'!$B$2:$I$120,6,FALSE),"")</f>
        <v/>
      </c>
      <c r="BM217" s="168">
        <f t="shared" si="163"/>
        <v>67795.350000000006</v>
      </c>
      <c r="BN217" s="160">
        <f t="shared" si="164"/>
        <v>67795.350000000006</v>
      </c>
      <c r="BO217" s="22" t="s">
        <v>157</v>
      </c>
      <c r="BP217" s="157">
        <f>VLOOKUP(I217,'Job Codes'!$B$2:$I$120,8,FALSE)</f>
        <v>0.25</v>
      </c>
      <c r="BQ217" s="25" t="str">
        <f>IF(O217&gt;Data!$H$33,"Yes","No")</f>
        <v>No</v>
      </c>
      <c r="BR217" s="191">
        <v>0.25</v>
      </c>
      <c r="BS217" s="150">
        <f t="shared" si="165"/>
        <v>16141.75</v>
      </c>
      <c r="BT217" s="25">
        <f t="shared" si="166"/>
        <v>16141.75</v>
      </c>
      <c r="BU217" s="161">
        <v>1</v>
      </c>
      <c r="BV217" s="168">
        <f t="shared" si="167"/>
        <v>16141.75</v>
      </c>
      <c r="BW217" s="160">
        <f t="shared" si="168"/>
        <v>16141.75</v>
      </c>
      <c r="BX217" s="149"/>
      <c r="BY217" s="32">
        <f t="shared" si="169"/>
        <v>0</v>
      </c>
      <c r="BZ217" s="22" t="s">
        <v>157</v>
      </c>
      <c r="CA217" s="231">
        <f>VLOOKUP(I217,'Job Codes'!$B$2:$J$120,9,FALSE)</f>
        <v>0.25</v>
      </c>
      <c r="CB217" s="253">
        <f t="shared" si="170"/>
        <v>16141.75</v>
      </c>
      <c r="CC217" s="72"/>
      <c r="CD217" s="25" t="str">
        <f t="shared" si="171"/>
        <v>Exceeds</v>
      </c>
      <c r="CE217" s="27"/>
      <c r="CF217" s="27"/>
      <c r="CG217" s="27"/>
      <c r="CH217" s="27"/>
      <c r="CI217" s="27"/>
      <c r="CJ217" s="3"/>
      <c r="CK217" s="3"/>
      <c r="CL217" s="3"/>
      <c r="CM217" s="3"/>
      <c r="CN217" s="3">
        <v>4571</v>
      </c>
      <c r="CO217" s="3" t="s">
        <v>162</v>
      </c>
      <c r="CP217" s="3">
        <v>12345</v>
      </c>
      <c r="CQ217" s="3" t="s">
        <v>163</v>
      </c>
      <c r="CR217" s="246" t="s">
        <v>256</v>
      </c>
      <c r="CS217" s="247" t="s">
        <v>257</v>
      </c>
      <c r="CT217" s="246" t="s">
        <v>199</v>
      </c>
      <c r="CU217" s="247" t="s">
        <v>200</v>
      </c>
      <c r="CV217" s="3" t="str">
        <f t="shared" si="172"/>
        <v>86672;36523</v>
      </c>
      <c r="CW217" s="3" t="s">
        <v>168</v>
      </c>
      <c r="CX217" s="3" t="str">
        <f t="shared" si="173"/>
        <v>;;BB217:BD217;;</v>
      </c>
      <c r="CY217" s="5" t="str">
        <f t="shared" si="174"/>
        <v>Unlock</v>
      </c>
      <c r="CZ217" s="5" t="str">
        <f t="shared" si="175"/>
        <v>Lock</v>
      </c>
      <c r="DA217" s="5" t="str">
        <f t="shared" si="176"/>
        <v>Lock</v>
      </c>
      <c r="DB217" s="5" t="str">
        <f t="shared" si="177"/>
        <v>Lock</v>
      </c>
      <c r="DC217" s="5" t="str">
        <f t="shared" si="178"/>
        <v>Lock</v>
      </c>
      <c r="DD217" s="78">
        <f t="shared" si="179"/>
        <v>4</v>
      </c>
      <c r="DE217" s="2"/>
      <c r="DF217" s="2"/>
      <c r="DG217" s="2"/>
      <c r="DH217" s="2"/>
      <c r="DI217" s="2"/>
      <c r="DJ217" s="2"/>
      <c r="DK217" s="5"/>
      <c r="DL217" s="2"/>
      <c r="DM217" s="2"/>
      <c r="DN217" s="2"/>
      <c r="DO217" s="2"/>
      <c r="DP217" s="2"/>
      <c r="DQ217" s="2"/>
      <c r="DR217" s="2"/>
      <c r="DS217" s="2"/>
      <c r="DT217" s="2"/>
      <c r="DU217" s="2"/>
      <c r="DV217" s="2"/>
      <c r="DW217" s="2"/>
      <c r="DX217" s="2"/>
      <c r="DY217" s="2"/>
      <c r="DZ217" s="2"/>
      <c r="EA217" s="2"/>
      <c r="EB217" s="2"/>
      <c r="EC217" s="2"/>
      <c r="ED217" s="2"/>
      <c r="EE217" s="2"/>
      <c r="EF217" s="1"/>
      <c r="EG217" s="98"/>
      <c r="EH217" s="98"/>
      <c r="EI217" s="1"/>
      <c r="EJ217" s="1"/>
      <c r="EK217" s="98"/>
      <c r="EL217" s="1"/>
    </row>
    <row r="218" spans="1:142">
      <c r="A218" s="32">
        <f t="shared" si="138"/>
        <v>29326</v>
      </c>
      <c r="B218" s="3" t="str">
        <f t="shared" si="139"/>
        <v>sv_statement//Statement//Export Statement&amp;PDFID=Maxine Mceachern_29326&amp;SO=Y</v>
      </c>
      <c r="C218" s="5" t="str">
        <f t="shared" si="180"/>
        <v>Statement</v>
      </c>
      <c r="D218" s="5" t="str">
        <f t="shared" si="140"/>
        <v>Maxine Mceachern_29326</v>
      </c>
      <c r="E218" s="5"/>
      <c r="F218" s="5">
        <v>29326</v>
      </c>
      <c r="G218" s="22" t="s">
        <v>334</v>
      </c>
      <c r="H218" s="5" t="s">
        <v>367</v>
      </c>
      <c r="I218" s="5" t="s">
        <v>440</v>
      </c>
      <c r="J218" s="5" t="s">
        <v>252</v>
      </c>
      <c r="K218" s="5" t="s">
        <v>333</v>
      </c>
      <c r="L218" s="31">
        <f t="shared" si="141"/>
        <v>29271</v>
      </c>
      <c r="M218" s="5" t="s">
        <v>255</v>
      </c>
      <c r="N218" s="22" t="s">
        <v>155</v>
      </c>
      <c r="O218" s="100">
        <v>39203</v>
      </c>
      <c r="P218" s="146">
        <f>VLOOKUP(I218,'Job Codes'!$B$2:$I$120,4,FALSE)</f>
        <v>33000</v>
      </c>
      <c r="Q218" s="146">
        <f>VLOOKUP(I218,'Job Codes'!$B$2:$I$120,5,FALSE)</f>
        <v>42900</v>
      </c>
      <c r="R218" s="146">
        <f>VLOOKUP(I218,'Job Codes'!$B$2:$I$120,6,FALSE)</f>
        <v>51480</v>
      </c>
      <c r="S218" s="22" t="s">
        <v>171</v>
      </c>
      <c r="T218" s="146">
        <v>56434</v>
      </c>
      <c r="U218" s="8">
        <f>VLOOKUP(S218,Data!$H$22:$I$25,2,FALSE)*T218</f>
        <v>56434</v>
      </c>
      <c r="V218" s="180">
        <f t="shared" si="142"/>
        <v>1.3154778554778555</v>
      </c>
      <c r="W218" s="180">
        <f t="shared" si="143"/>
        <v>0</v>
      </c>
      <c r="X218" s="22" t="str">
        <f t="shared" si="144"/>
        <v>No</v>
      </c>
      <c r="Y218" s="180">
        <f t="shared" si="145"/>
        <v>0</v>
      </c>
      <c r="Z218" s="146">
        <f t="shared" si="146"/>
        <v>0</v>
      </c>
      <c r="AA218" s="146">
        <f t="shared" si="147"/>
        <v>0</v>
      </c>
      <c r="AB218" s="72"/>
      <c r="AC218" s="146">
        <f>AB218/VLOOKUP(S218,Data!$H$22:$I$25,2,FALSE)</f>
        <v>0</v>
      </c>
      <c r="AD218" s="22" t="s">
        <v>157</v>
      </c>
      <c r="AE218" s="146">
        <f>VLOOKUP(S218,Data!$H$22:$J$25,3,FALSE)*T218</f>
        <v>1693.02</v>
      </c>
      <c r="AF218" s="8">
        <f>VLOOKUP(S218,Data!$H$22:$I$25,2,FALSE)*AE218</f>
        <v>1693.02</v>
      </c>
      <c r="AG218" s="8" t="s">
        <v>178</v>
      </c>
      <c r="AH218" s="23">
        <v>0.03</v>
      </c>
      <c r="AI218" s="72"/>
      <c r="AJ218" s="159">
        <f t="shared" si="148"/>
        <v>0.03</v>
      </c>
      <c r="AK218" s="168">
        <f t="shared" si="181"/>
        <v>1693.02</v>
      </c>
      <c r="AL218" s="160">
        <f t="shared" si="182"/>
        <v>1693.02</v>
      </c>
      <c r="AM218" s="168">
        <f t="shared" si="149"/>
        <v>58127.02</v>
      </c>
      <c r="AN218" s="160">
        <f t="shared" si="150"/>
        <v>58127.02</v>
      </c>
      <c r="AO218" s="160" t="str">
        <f t="shared" si="183"/>
        <v>Yes by USD 6,647</v>
      </c>
      <c r="AP218" s="146">
        <f>IF(AQ218=0,0,AQ218/VLOOKUP(S218,Data!$H$22:$I$25,2,FALSE))</f>
        <v>1693.02</v>
      </c>
      <c r="AQ218" s="183">
        <f t="shared" si="151"/>
        <v>1693.02</v>
      </c>
      <c r="AR218" s="165">
        <f t="shared" si="152"/>
        <v>0</v>
      </c>
      <c r="AS218" s="183">
        <f t="shared" si="153"/>
        <v>0</v>
      </c>
      <c r="AT218" s="250">
        <f t="shared" si="154"/>
        <v>0</v>
      </c>
      <c r="AU218" s="146">
        <f t="shared" si="155"/>
        <v>56434</v>
      </c>
      <c r="AV218" s="8">
        <f t="shared" si="156"/>
        <v>56434</v>
      </c>
      <c r="AW218" s="8" t="str">
        <f t="shared" si="157"/>
        <v>Not within guidelines</v>
      </c>
      <c r="AX218" s="180">
        <f t="shared" si="158"/>
        <v>1.3154778554778555</v>
      </c>
      <c r="AY218" s="146">
        <f t="shared" si="159"/>
        <v>1</v>
      </c>
      <c r="AZ218" s="146">
        <f t="shared" si="160"/>
        <v>1</v>
      </c>
      <c r="BA218" s="22" t="s">
        <v>159</v>
      </c>
      <c r="BB218" s="149"/>
      <c r="BC218" s="149"/>
      <c r="BD218" s="144"/>
      <c r="BE218" s="146" t="str">
        <f t="shared" si="161"/>
        <v/>
      </c>
      <c r="BF218" s="8" t="str">
        <f t="shared" si="162"/>
        <v/>
      </c>
      <c r="BG218" s="8" t="str">
        <f>IF(LEN(BC218)&gt;0,VLOOKUP(BC218,'Job Codes'!B211:I329,7,FALSE),"")</f>
        <v/>
      </c>
      <c r="BH218" s="192" t="str">
        <f>IF(LEN(BC218)&gt;0,VLOOKUP(BC218,'Job Codes'!B211:I329,8,FALSE),"")</f>
        <v/>
      </c>
      <c r="BI218" s="192" t="str">
        <f>IF(LEN(BC218)&gt;0,VLOOKUP(BC218,'Job Codes'!$B$2:$J$120,9,FALSE),"")</f>
        <v/>
      </c>
      <c r="BJ218" s="146" t="str">
        <f>IF(LEN(BC218)&gt;0,VLOOKUP(BC218,'Job Codes'!$B$2:$I$120,4,FALSE),"")</f>
        <v/>
      </c>
      <c r="BK218" s="146" t="str">
        <f>IF(LEN(BC218)&gt;0,VLOOKUP(BC218,'Job Codes'!$B$2:$I$120,5,FALSE),"")</f>
        <v/>
      </c>
      <c r="BL218" s="146" t="str">
        <f>IF(LEN(BC218)&gt;0,VLOOKUP(BC218,'Job Codes'!$B$2:$I$120,6,FALSE),"")</f>
        <v/>
      </c>
      <c r="BM218" s="168">
        <f t="shared" si="163"/>
        <v>56434</v>
      </c>
      <c r="BN218" s="160">
        <f t="shared" si="164"/>
        <v>56434</v>
      </c>
      <c r="BO218" s="22" t="s">
        <v>157</v>
      </c>
      <c r="BP218" s="157">
        <f>VLOOKUP(I218,'Job Codes'!$B$2:$I$120,8,FALSE)</f>
        <v>0.1</v>
      </c>
      <c r="BQ218" s="25" t="str">
        <f>IF(O218&gt;Data!$H$33,"Yes","No")</f>
        <v>No</v>
      </c>
      <c r="BR218" s="191">
        <v>0.1</v>
      </c>
      <c r="BS218" s="150">
        <f t="shared" si="165"/>
        <v>5643.4000000000005</v>
      </c>
      <c r="BT218" s="25">
        <f t="shared" si="166"/>
        <v>5643.4000000000005</v>
      </c>
      <c r="BU218" s="161">
        <v>1</v>
      </c>
      <c r="BV218" s="168">
        <f t="shared" si="167"/>
        <v>5643.4000000000005</v>
      </c>
      <c r="BW218" s="160">
        <f t="shared" si="168"/>
        <v>5643.4000000000005</v>
      </c>
      <c r="BX218" s="149"/>
      <c r="BY218" s="32">
        <f t="shared" si="169"/>
        <v>0</v>
      </c>
      <c r="BZ218" s="22" t="s">
        <v>157</v>
      </c>
      <c r="CA218" s="231">
        <f>VLOOKUP(I218,'Job Codes'!$B$2:$J$120,9,FALSE)</f>
        <v>0.1</v>
      </c>
      <c r="CB218" s="253">
        <f t="shared" si="170"/>
        <v>5643.4000000000005</v>
      </c>
      <c r="CC218" s="72"/>
      <c r="CD218" s="25" t="str">
        <f t="shared" si="171"/>
        <v>Meets</v>
      </c>
      <c r="CE218" s="27"/>
      <c r="CF218" s="27"/>
      <c r="CG218" s="27"/>
      <c r="CH218" s="27"/>
      <c r="CI218" s="27"/>
      <c r="CJ218" s="3"/>
      <c r="CK218" s="3"/>
      <c r="CL218" s="3"/>
      <c r="CM218" s="3"/>
      <c r="CN218" s="3">
        <v>4571</v>
      </c>
      <c r="CO218" s="3" t="s">
        <v>162</v>
      </c>
      <c r="CP218" s="3">
        <v>12345</v>
      </c>
      <c r="CQ218" s="3" t="s">
        <v>163</v>
      </c>
      <c r="CR218" s="246" t="s">
        <v>256</v>
      </c>
      <c r="CS218" s="247" t="s">
        <v>257</v>
      </c>
      <c r="CT218" s="246" t="s">
        <v>199</v>
      </c>
      <c r="CU218" s="247" t="s">
        <v>200</v>
      </c>
      <c r="CV218" s="3" t="str">
        <f t="shared" si="172"/>
        <v>86672;36523</v>
      </c>
      <c r="CW218" s="3" t="s">
        <v>168</v>
      </c>
      <c r="CX218" s="3" t="str">
        <f t="shared" si="173"/>
        <v>AB218;;BB218:BD218;;</v>
      </c>
      <c r="CY218" s="5" t="str">
        <f t="shared" si="174"/>
        <v>Unlock</v>
      </c>
      <c r="CZ218" s="5" t="str">
        <f t="shared" si="175"/>
        <v>Lock</v>
      </c>
      <c r="DA218" s="5" t="str">
        <f t="shared" si="176"/>
        <v>Lock</v>
      </c>
      <c r="DB218" s="5" t="str">
        <f t="shared" si="177"/>
        <v>Lock</v>
      </c>
      <c r="DC218" s="5" t="str">
        <f t="shared" si="178"/>
        <v>Lock</v>
      </c>
      <c r="DD218" s="78">
        <f t="shared" si="179"/>
        <v>4</v>
      </c>
      <c r="DE218" s="2"/>
      <c r="DF218" s="2"/>
      <c r="DG218" s="2"/>
      <c r="DH218" s="2"/>
      <c r="DI218" s="2"/>
      <c r="DJ218" s="2"/>
      <c r="DK218" s="5"/>
      <c r="DL218" s="2"/>
      <c r="DM218" s="2"/>
      <c r="DN218" s="2"/>
      <c r="DO218" s="2"/>
      <c r="DP218" s="2"/>
      <c r="DQ218" s="2"/>
      <c r="DR218" s="2"/>
      <c r="DS218" s="2"/>
      <c r="DT218" s="2"/>
      <c r="DU218" s="2"/>
      <c r="DV218" s="2"/>
      <c r="DW218" s="2"/>
      <c r="DX218" s="2"/>
      <c r="DY218" s="2"/>
      <c r="DZ218" s="2"/>
      <c r="EA218" s="2"/>
      <c r="EB218" s="2"/>
      <c r="EC218" s="2"/>
      <c r="ED218" s="2"/>
      <c r="EE218" s="2"/>
      <c r="EF218" s="1"/>
      <c r="EG218" s="98"/>
      <c r="EH218" s="98"/>
      <c r="EI218" s="1"/>
      <c r="EJ218" s="1"/>
      <c r="EK218" s="98"/>
      <c r="EL218" s="1"/>
    </row>
    <row r="219" spans="1:142">
      <c r="A219" s="32">
        <f t="shared" si="138"/>
        <v>29331</v>
      </c>
      <c r="B219" s="3" t="str">
        <f t="shared" si="139"/>
        <v>sv_statement//Statement//Export Statement&amp;PDFID=Jack Falkner_29331&amp;SO=Y</v>
      </c>
      <c r="C219" s="5" t="str">
        <f t="shared" si="180"/>
        <v>Statement</v>
      </c>
      <c r="D219" s="5" t="str">
        <f t="shared" si="140"/>
        <v>Jack Falkner_29331</v>
      </c>
      <c r="E219" s="5"/>
      <c r="F219" s="5">
        <v>29331</v>
      </c>
      <c r="G219" s="22" t="s">
        <v>320</v>
      </c>
      <c r="H219" s="5" t="s">
        <v>367</v>
      </c>
      <c r="I219" s="5" t="s">
        <v>444</v>
      </c>
      <c r="J219" s="5" t="s">
        <v>252</v>
      </c>
      <c r="K219" s="5" t="s">
        <v>319</v>
      </c>
      <c r="L219" s="31">
        <f t="shared" si="141"/>
        <v>29271</v>
      </c>
      <c r="M219" s="5" t="s">
        <v>255</v>
      </c>
      <c r="N219" s="22" t="s">
        <v>155</v>
      </c>
      <c r="O219" s="100">
        <v>39202</v>
      </c>
      <c r="P219" s="146">
        <f>VLOOKUP(I219,'Job Codes'!$B$2:$I$120,4,FALSE)</f>
        <v>27000</v>
      </c>
      <c r="Q219" s="146">
        <f>VLOOKUP(I219,'Job Codes'!$B$2:$I$120,5,FALSE)</f>
        <v>35100</v>
      </c>
      <c r="R219" s="146">
        <f>VLOOKUP(I219,'Job Codes'!$B$2:$I$120,6,FALSE)</f>
        <v>42120</v>
      </c>
      <c r="S219" s="22" t="s">
        <v>171</v>
      </c>
      <c r="T219" s="146">
        <v>48765</v>
      </c>
      <c r="U219" s="8">
        <f>VLOOKUP(S219,Data!$H$22:$I$25,2,FALSE)*T219</f>
        <v>48765</v>
      </c>
      <c r="V219" s="180">
        <f t="shared" si="142"/>
        <v>1.3893162393162393</v>
      </c>
      <c r="W219" s="180">
        <f t="shared" si="143"/>
        <v>0</v>
      </c>
      <c r="X219" s="22" t="str">
        <f t="shared" si="144"/>
        <v>No</v>
      </c>
      <c r="Y219" s="180">
        <f t="shared" si="145"/>
        <v>0</v>
      </c>
      <c r="Z219" s="146">
        <f t="shared" si="146"/>
        <v>0</v>
      </c>
      <c r="AA219" s="146">
        <f t="shared" si="147"/>
        <v>0</v>
      </c>
      <c r="AB219" s="72"/>
      <c r="AC219" s="146">
        <f>AB219/VLOOKUP(S219,Data!$H$22:$I$25,2,FALSE)</f>
        <v>0</v>
      </c>
      <c r="AD219" s="22" t="s">
        <v>157</v>
      </c>
      <c r="AE219" s="146">
        <f>VLOOKUP(S219,Data!$H$22:$J$25,3,FALSE)*T219</f>
        <v>1462.95</v>
      </c>
      <c r="AF219" s="8">
        <f>VLOOKUP(S219,Data!$H$22:$I$25,2,FALSE)*AE219</f>
        <v>1462.95</v>
      </c>
      <c r="AG219" s="8" t="s">
        <v>158</v>
      </c>
      <c r="AH219" s="23">
        <v>0.04</v>
      </c>
      <c r="AI219" s="72"/>
      <c r="AJ219" s="159">
        <f t="shared" si="148"/>
        <v>0.04</v>
      </c>
      <c r="AK219" s="168">
        <f t="shared" si="181"/>
        <v>1950.6000000000001</v>
      </c>
      <c r="AL219" s="160">
        <f t="shared" si="182"/>
        <v>1950.6000000000001</v>
      </c>
      <c r="AM219" s="168">
        <f t="shared" si="149"/>
        <v>50715.6</v>
      </c>
      <c r="AN219" s="160">
        <f t="shared" si="150"/>
        <v>50715.6</v>
      </c>
      <c r="AO219" s="160" t="str">
        <f t="shared" si="183"/>
        <v>Yes by USD 8,596</v>
      </c>
      <c r="AP219" s="146">
        <f>IF(AQ219=0,0,AQ219/VLOOKUP(S219,Data!$H$22:$I$25,2,FALSE))</f>
        <v>1950.6000000000001</v>
      </c>
      <c r="AQ219" s="183">
        <f t="shared" si="151"/>
        <v>1950.6000000000001</v>
      </c>
      <c r="AR219" s="165">
        <f t="shared" si="152"/>
        <v>0</v>
      </c>
      <c r="AS219" s="183">
        <f t="shared" si="153"/>
        <v>0</v>
      </c>
      <c r="AT219" s="250">
        <f t="shared" si="154"/>
        <v>0</v>
      </c>
      <c r="AU219" s="146">
        <f t="shared" si="155"/>
        <v>48765</v>
      </c>
      <c r="AV219" s="8">
        <f t="shared" si="156"/>
        <v>48765</v>
      </c>
      <c r="AW219" s="8" t="str">
        <f t="shared" si="157"/>
        <v>Employee to receive full proposed merit increase as a lump sum</v>
      </c>
      <c r="AX219" s="180">
        <f t="shared" si="158"/>
        <v>1.3893162393162393</v>
      </c>
      <c r="AY219" s="146">
        <f t="shared" si="159"/>
        <v>0</v>
      </c>
      <c r="AZ219" s="146">
        <f t="shared" si="160"/>
        <v>0</v>
      </c>
      <c r="BA219" s="22" t="s">
        <v>159</v>
      </c>
      <c r="BB219" s="149"/>
      <c r="BC219" s="149"/>
      <c r="BD219" s="144"/>
      <c r="BE219" s="146" t="str">
        <f t="shared" si="161"/>
        <v/>
      </c>
      <c r="BF219" s="8" t="str">
        <f t="shared" si="162"/>
        <v/>
      </c>
      <c r="BG219" s="8" t="str">
        <f>IF(LEN(BC219)&gt;0,VLOOKUP(BC219,'Job Codes'!B212:I330,7,FALSE),"")</f>
        <v/>
      </c>
      <c r="BH219" s="192" t="str">
        <f>IF(LEN(BC219)&gt;0,VLOOKUP(BC219,'Job Codes'!B212:I330,8,FALSE),"")</f>
        <v/>
      </c>
      <c r="BI219" s="192" t="str">
        <f>IF(LEN(BC219)&gt;0,VLOOKUP(BC219,'Job Codes'!$B$2:$J$120,9,FALSE),"")</f>
        <v/>
      </c>
      <c r="BJ219" s="146" t="str">
        <f>IF(LEN(BC219)&gt;0,VLOOKUP(BC219,'Job Codes'!$B$2:$I$120,4,FALSE),"")</f>
        <v/>
      </c>
      <c r="BK219" s="146" t="str">
        <f>IF(LEN(BC219)&gt;0,VLOOKUP(BC219,'Job Codes'!$B$2:$I$120,5,FALSE),"")</f>
        <v/>
      </c>
      <c r="BL219" s="146" t="str">
        <f>IF(LEN(BC219)&gt;0,VLOOKUP(BC219,'Job Codes'!$B$2:$I$120,6,FALSE),"")</f>
        <v/>
      </c>
      <c r="BM219" s="168">
        <f t="shared" si="163"/>
        <v>48765</v>
      </c>
      <c r="BN219" s="160">
        <f t="shared" si="164"/>
        <v>48765</v>
      </c>
      <c r="BO219" s="22" t="s">
        <v>157</v>
      </c>
      <c r="BP219" s="157">
        <f>VLOOKUP(I219,'Job Codes'!$B$2:$I$120,8,FALSE)</f>
        <v>0.05</v>
      </c>
      <c r="BQ219" s="25" t="str">
        <f>IF(O219&gt;Data!$H$33,"Yes","No")</f>
        <v>No</v>
      </c>
      <c r="BR219" s="191">
        <v>0.05</v>
      </c>
      <c r="BS219" s="150">
        <f t="shared" si="165"/>
        <v>2438.25</v>
      </c>
      <c r="BT219" s="25">
        <f t="shared" si="166"/>
        <v>2438.25</v>
      </c>
      <c r="BU219" s="161">
        <v>1</v>
      </c>
      <c r="BV219" s="168">
        <f t="shared" si="167"/>
        <v>2438.25</v>
      </c>
      <c r="BW219" s="160">
        <f t="shared" si="168"/>
        <v>2438.25</v>
      </c>
      <c r="BX219" s="149"/>
      <c r="BY219" s="32">
        <f t="shared" si="169"/>
        <v>0</v>
      </c>
      <c r="BZ219" s="22" t="s">
        <v>159</v>
      </c>
      <c r="CA219" s="231">
        <f>VLOOKUP(I219,'Job Codes'!$B$2:$J$120,9,FALSE)</f>
        <v>0</v>
      </c>
      <c r="CB219" s="253">
        <f t="shared" si="170"/>
        <v>0</v>
      </c>
      <c r="CC219" s="72"/>
      <c r="CD219" s="25" t="str">
        <f t="shared" si="171"/>
        <v>Exceeds</v>
      </c>
      <c r="CE219" s="27"/>
      <c r="CF219" s="27"/>
      <c r="CG219" s="27"/>
      <c r="CH219" s="27"/>
      <c r="CI219" s="27"/>
      <c r="CJ219" s="3"/>
      <c r="CK219" s="3"/>
      <c r="CL219" s="3"/>
      <c r="CM219" s="3"/>
      <c r="CN219" s="3">
        <v>4571</v>
      </c>
      <c r="CO219" s="3" t="s">
        <v>162</v>
      </c>
      <c r="CP219" s="3">
        <v>12345</v>
      </c>
      <c r="CQ219" s="3" t="s">
        <v>163</v>
      </c>
      <c r="CR219" s="246" t="s">
        <v>256</v>
      </c>
      <c r="CS219" s="247" t="s">
        <v>257</v>
      </c>
      <c r="CT219" s="246" t="s">
        <v>199</v>
      </c>
      <c r="CU219" s="247" t="s">
        <v>200</v>
      </c>
      <c r="CV219" s="3" t="str">
        <f t="shared" si="172"/>
        <v>86672;36523</v>
      </c>
      <c r="CW219" s="3" t="s">
        <v>168</v>
      </c>
      <c r="CX219" s="3" t="str">
        <f t="shared" si="173"/>
        <v>AB219;;BB219:BD219;;CC219</v>
      </c>
      <c r="CY219" s="5" t="str">
        <f t="shared" si="174"/>
        <v>Unlock</v>
      </c>
      <c r="CZ219" s="5" t="str">
        <f t="shared" si="175"/>
        <v>Lock</v>
      </c>
      <c r="DA219" s="5" t="str">
        <f t="shared" si="176"/>
        <v>Lock</v>
      </c>
      <c r="DB219" s="5" t="str">
        <f t="shared" si="177"/>
        <v>Lock</v>
      </c>
      <c r="DC219" s="5" t="str">
        <f t="shared" si="178"/>
        <v>Lock</v>
      </c>
      <c r="DD219" s="78">
        <f t="shared" si="179"/>
        <v>4</v>
      </c>
      <c r="DE219" s="2"/>
      <c r="DF219" s="2"/>
      <c r="DG219" s="2"/>
      <c r="DH219" s="2"/>
      <c r="DI219" s="2"/>
      <c r="DJ219" s="2"/>
      <c r="DK219" s="5"/>
      <c r="DL219" s="2"/>
      <c r="DM219" s="2"/>
      <c r="DN219" s="2"/>
      <c r="DO219" s="2"/>
      <c r="DP219" s="2"/>
      <c r="DQ219" s="2"/>
      <c r="DR219" s="2"/>
      <c r="DS219" s="2"/>
      <c r="DT219" s="2"/>
      <c r="DU219" s="2"/>
      <c r="DV219" s="2"/>
      <c r="DW219" s="2"/>
      <c r="DX219" s="2"/>
      <c r="DY219" s="2"/>
      <c r="DZ219" s="2"/>
      <c r="EA219" s="2"/>
      <c r="EB219" s="2"/>
      <c r="EC219" s="2"/>
      <c r="ED219" s="2"/>
      <c r="EE219" s="2"/>
      <c r="EF219" s="1"/>
      <c r="EG219" s="98"/>
      <c r="EH219" s="98"/>
      <c r="EI219" s="1"/>
      <c r="EJ219" s="1"/>
      <c r="EK219" s="98"/>
      <c r="EL219" s="1"/>
    </row>
    <row r="220" spans="1:142">
      <c r="A220" s="32">
        <f t="shared" si="138"/>
        <v>29342</v>
      </c>
      <c r="B220" s="3" t="str">
        <f t="shared" si="139"/>
        <v>sv_statement//Statement//Export Statement&amp;PDFID=Steven Van_29342&amp;SO=Y</v>
      </c>
      <c r="C220" s="5" t="str">
        <f t="shared" si="180"/>
        <v>Statement</v>
      </c>
      <c r="D220" s="5" t="str">
        <f t="shared" si="140"/>
        <v>Steven Van_29342</v>
      </c>
      <c r="E220" s="5"/>
      <c r="F220" s="5">
        <v>29342</v>
      </c>
      <c r="G220" s="22" t="s">
        <v>254</v>
      </c>
      <c r="H220" s="5" t="s">
        <v>367</v>
      </c>
      <c r="I220" s="5" t="s">
        <v>446</v>
      </c>
      <c r="J220" s="5" t="s">
        <v>252</v>
      </c>
      <c r="K220" s="5" t="s">
        <v>253</v>
      </c>
      <c r="L220" s="31">
        <f t="shared" si="141"/>
        <v>29271</v>
      </c>
      <c r="M220" s="5" t="s">
        <v>255</v>
      </c>
      <c r="N220" s="22" t="s">
        <v>155</v>
      </c>
      <c r="O220" s="100">
        <v>39202</v>
      </c>
      <c r="P220" s="146">
        <f>VLOOKUP(I220,'Job Codes'!$B$2:$I$120,4,FALSE)</f>
        <v>33000</v>
      </c>
      <c r="Q220" s="146">
        <f>VLOOKUP(I220,'Job Codes'!$B$2:$I$120,5,FALSE)</f>
        <v>42900</v>
      </c>
      <c r="R220" s="146">
        <f>VLOOKUP(I220,'Job Codes'!$B$2:$I$120,6,FALSE)</f>
        <v>51480</v>
      </c>
      <c r="S220" s="22" t="s">
        <v>171</v>
      </c>
      <c r="T220" s="146">
        <v>58765</v>
      </c>
      <c r="U220" s="8">
        <f>VLOOKUP(S220,Data!$H$22:$I$25,2,FALSE)*T220</f>
        <v>58765</v>
      </c>
      <c r="V220" s="180">
        <f t="shared" si="142"/>
        <v>1.3698135198135197</v>
      </c>
      <c r="W220" s="180">
        <f t="shared" si="143"/>
        <v>0</v>
      </c>
      <c r="X220" s="22" t="str">
        <f t="shared" si="144"/>
        <v>No</v>
      </c>
      <c r="Y220" s="180">
        <f t="shared" si="145"/>
        <v>0</v>
      </c>
      <c r="Z220" s="146">
        <f t="shared" si="146"/>
        <v>0</v>
      </c>
      <c r="AA220" s="146">
        <f t="shared" si="147"/>
        <v>0</v>
      </c>
      <c r="AB220" s="72"/>
      <c r="AC220" s="146">
        <f>AB220/VLOOKUP(S220,Data!$H$22:$I$25,2,FALSE)</f>
        <v>0</v>
      </c>
      <c r="AD220" s="22" t="s">
        <v>157</v>
      </c>
      <c r="AE220" s="146">
        <f>VLOOKUP(S220,Data!$H$22:$J$25,3,FALSE)*T220</f>
        <v>1762.95</v>
      </c>
      <c r="AF220" s="8">
        <f>VLOOKUP(S220,Data!$H$22:$I$25,2,FALSE)*AE220</f>
        <v>1762.95</v>
      </c>
      <c r="AG220" s="8" t="s">
        <v>172</v>
      </c>
      <c r="AH220" s="23">
        <v>0</v>
      </c>
      <c r="AI220" s="72"/>
      <c r="AJ220" s="159">
        <f t="shared" si="148"/>
        <v>0</v>
      </c>
      <c r="AK220" s="168">
        <f t="shared" si="181"/>
        <v>0</v>
      </c>
      <c r="AL220" s="160">
        <f t="shared" si="182"/>
        <v>0</v>
      </c>
      <c r="AM220" s="168">
        <f t="shared" si="149"/>
        <v>58765</v>
      </c>
      <c r="AN220" s="160">
        <f t="shared" si="150"/>
        <v>58765</v>
      </c>
      <c r="AO220" s="160" t="str">
        <f t="shared" si="183"/>
        <v>Yes by USD 7,285</v>
      </c>
      <c r="AP220" s="146">
        <f>IF(AQ220=0,0,AQ220/VLOOKUP(S220,Data!$H$22:$I$25,2,FALSE))</f>
        <v>0</v>
      </c>
      <c r="AQ220" s="183">
        <f t="shared" si="151"/>
        <v>0</v>
      </c>
      <c r="AR220" s="165">
        <f t="shared" si="152"/>
        <v>0</v>
      </c>
      <c r="AS220" s="183">
        <f t="shared" si="153"/>
        <v>0</v>
      </c>
      <c r="AT220" s="250">
        <f t="shared" si="154"/>
        <v>0</v>
      </c>
      <c r="AU220" s="146">
        <f t="shared" si="155"/>
        <v>58765</v>
      </c>
      <c r="AV220" s="8">
        <f t="shared" si="156"/>
        <v>58765</v>
      </c>
      <c r="AW220" s="8" t="str">
        <f t="shared" si="157"/>
        <v/>
      </c>
      <c r="AX220" s="180">
        <f t="shared" si="158"/>
        <v>1.3698135198135197</v>
      </c>
      <c r="AY220" s="146">
        <f t="shared" si="159"/>
        <v>0</v>
      </c>
      <c r="AZ220" s="146">
        <f t="shared" si="160"/>
        <v>0</v>
      </c>
      <c r="BA220" s="22" t="s">
        <v>159</v>
      </c>
      <c r="BB220" s="149"/>
      <c r="BC220" s="149"/>
      <c r="BD220" s="144"/>
      <c r="BE220" s="146" t="str">
        <f t="shared" si="161"/>
        <v/>
      </c>
      <c r="BF220" s="8" t="str">
        <f t="shared" si="162"/>
        <v/>
      </c>
      <c r="BG220" s="8" t="str">
        <f>IF(LEN(BC220)&gt;0,VLOOKUP(BC220,'Job Codes'!B213:I331,7,FALSE),"")</f>
        <v/>
      </c>
      <c r="BH220" s="192" t="str">
        <f>IF(LEN(BC220)&gt;0,VLOOKUP(BC220,'Job Codes'!B213:I331,8,FALSE),"")</f>
        <v/>
      </c>
      <c r="BI220" s="192" t="str">
        <f>IF(LEN(BC220)&gt;0,VLOOKUP(BC220,'Job Codes'!$B$2:$J$120,9,FALSE),"")</f>
        <v/>
      </c>
      <c r="BJ220" s="146" t="str">
        <f>IF(LEN(BC220)&gt;0,VLOOKUP(BC220,'Job Codes'!$B$2:$I$120,4,FALSE),"")</f>
        <v/>
      </c>
      <c r="BK220" s="146" t="str">
        <f>IF(LEN(BC220)&gt;0,VLOOKUP(BC220,'Job Codes'!$B$2:$I$120,5,FALSE),"")</f>
        <v/>
      </c>
      <c r="BL220" s="146" t="str">
        <f>IF(LEN(BC220)&gt;0,VLOOKUP(BC220,'Job Codes'!$B$2:$I$120,6,FALSE),"")</f>
        <v/>
      </c>
      <c r="BM220" s="168">
        <f t="shared" si="163"/>
        <v>58765</v>
      </c>
      <c r="BN220" s="160">
        <f t="shared" si="164"/>
        <v>58765</v>
      </c>
      <c r="BO220" s="22" t="s">
        <v>157</v>
      </c>
      <c r="BP220" s="157">
        <f>VLOOKUP(I220,'Job Codes'!$B$2:$I$120,8,FALSE)</f>
        <v>0.1</v>
      </c>
      <c r="BQ220" s="25" t="str">
        <f>IF(O220&gt;Data!$H$33,"Yes","No")</f>
        <v>No</v>
      </c>
      <c r="BR220" s="191">
        <v>0.1</v>
      </c>
      <c r="BS220" s="150">
        <f t="shared" si="165"/>
        <v>5876.5</v>
      </c>
      <c r="BT220" s="25">
        <f t="shared" si="166"/>
        <v>5876.5</v>
      </c>
      <c r="BU220" s="161">
        <v>1</v>
      </c>
      <c r="BV220" s="168">
        <f t="shared" si="167"/>
        <v>5876.5</v>
      </c>
      <c r="BW220" s="160">
        <f t="shared" si="168"/>
        <v>5876.5</v>
      </c>
      <c r="BX220" s="149"/>
      <c r="BY220" s="32">
        <f t="shared" si="169"/>
        <v>0</v>
      </c>
      <c r="BZ220" s="22" t="s">
        <v>157</v>
      </c>
      <c r="CA220" s="231">
        <f>VLOOKUP(I220,'Job Codes'!$B$2:$J$120,9,FALSE)</f>
        <v>0.1</v>
      </c>
      <c r="CB220" s="253">
        <f t="shared" si="170"/>
        <v>5876.5</v>
      </c>
      <c r="CC220" s="72"/>
      <c r="CD220" s="25" t="str">
        <f t="shared" si="171"/>
        <v>Below</v>
      </c>
      <c r="CE220" s="27"/>
      <c r="CF220" s="27"/>
      <c r="CG220" s="27"/>
      <c r="CH220" s="27"/>
      <c r="CI220" s="27"/>
      <c r="CJ220" s="3"/>
      <c r="CK220" s="3"/>
      <c r="CL220" s="3"/>
      <c r="CM220" s="3"/>
      <c r="CN220" s="3">
        <v>4571</v>
      </c>
      <c r="CO220" s="3" t="s">
        <v>162</v>
      </c>
      <c r="CP220" s="3">
        <v>12345</v>
      </c>
      <c r="CQ220" s="3" t="s">
        <v>163</v>
      </c>
      <c r="CR220" s="246" t="s">
        <v>256</v>
      </c>
      <c r="CS220" s="247" t="s">
        <v>257</v>
      </c>
      <c r="CT220" s="246" t="s">
        <v>199</v>
      </c>
      <c r="CU220" s="247" t="s">
        <v>200</v>
      </c>
      <c r="CV220" s="3" t="str">
        <f t="shared" si="172"/>
        <v>86672;36523</v>
      </c>
      <c r="CW220" s="3" t="s">
        <v>168</v>
      </c>
      <c r="CX220" s="3" t="str">
        <f t="shared" si="173"/>
        <v>AB220;;BB220:BD220;;</v>
      </c>
      <c r="CY220" s="5" t="str">
        <f t="shared" si="174"/>
        <v>Unlock</v>
      </c>
      <c r="CZ220" s="5" t="str">
        <f t="shared" si="175"/>
        <v>Lock</v>
      </c>
      <c r="DA220" s="5" t="str">
        <f t="shared" si="176"/>
        <v>Lock</v>
      </c>
      <c r="DB220" s="5" t="str">
        <f t="shared" si="177"/>
        <v>Lock</v>
      </c>
      <c r="DC220" s="5" t="str">
        <f t="shared" si="178"/>
        <v>Lock</v>
      </c>
      <c r="DD220" s="78">
        <f t="shared" si="179"/>
        <v>4</v>
      </c>
      <c r="DE220" s="2"/>
      <c r="DF220" s="2"/>
      <c r="DG220" s="2"/>
      <c r="DH220" s="2"/>
      <c r="DI220" s="2"/>
      <c r="DJ220" s="2"/>
      <c r="DK220" s="5"/>
      <c r="DL220" s="2"/>
      <c r="DM220" s="2"/>
      <c r="DN220" s="2"/>
      <c r="DO220" s="2"/>
      <c r="DP220" s="2"/>
      <c r="DQ220" s="2"/>
      <c r="DR220" s="2"/>
      <c r="DS220" s="2"/>
      <c r="DT220" s="2"/>
      <c r="DU220" s="2"/>
      <c r="DV220" s="2"/>
      <c r="DW220" s="2"/>
      <c r="DX220" s="2"/>
      <c r="DY220" s="2"/>
      <c r="DZ220" s="2"/>
      <c r="EA220" s="2"/>
      <c r="EB220" s="2"/>
      <c r="EC220" s="2"/>
      <c r="ED220" s="2"/>
      <c r="EE220" s="2"/>
      <c r="EF220" s="1"/>
      <c r="EG220" s="98"/>
      <c r="EH220" s="98"/>
      <c r="EI220" s="1"/>
      <c r="EJ220" s="1"/>
      <c r="EK220" s="98"/>
      <c r="EL220" s="1"/>
    </row>
    <row r="221" spans="1:142">
      <c r="A221" s="32">
        <f t="shared" si="138"/>
        <v>12345</v>
      </c>
      <c r="B221" s="3" t="str">
        <f t="shared" si="139"/>
        <v>sv_statement//Statement//Export Statement&amp;PDFID=Roy Anthony_12345&amp;SO=Y</v>
      </c>
      <c r="C221" s="5" t="str">
        <f t="shared" si="180"/>
        <v>Statement</v>
      </c>
      <c r="D221" s="5" t="str">
        <f t="shared" si="140"/>
        <v>Roy Anthony_12345</v>
      </c>
      <c r="E221" s="5"/>
      <c r="F221" s="5">
        <v>12345</v>
      </c>
      <c r="G221" s="22" t="s">
        <v>163</v>
      </c>
      <c r="H221" s="5"/>
      <c r="I221" s="5" t="s">
        <v>527</v>
      </c>
      <c r="J221" s="5" t="s">
        <v>252</v>
      </c>
      <c r="K221" s="5" t="s">
        <v>253</v>
      </c>
      <c r="L221" s="31" t="str">
        <f t="shared" si="141"/>
        <v/>
      </c>
      <c r="M221" s="5"/>
      <c r="N221" s="22" t="s">
        <v>155</v>
      </c>
      <c r="O221" s="100">
        <v>40673</v>
      </c>
      <c r="P221" s="146">
        <f>VLOOKUP(I221,'Job Codes'!$B$2:$I$120,4,FALSE)</f>
        <v>225000</v>
      </c>
      <c r="Q221" s="146">
        <f>VLOOKUP(I221,'Job Codes'!$B$2:$I$120,5,FALSE)</f>
        <v>292500</v>
      </c>
      <c r="R221" s="146">
        <f>VLOOKUP(I221,'Job Codes'!$B$2:$I$120,6,FALSE)</f>
        <v>351000</v>
      </c>
      <c r="S221" s="22" t="s">
        <v>171</v>
      </c>
      <c r="T221" s="146">
        <v>250000</v>
      </c>
      <c r="U221" s="8">
        <f>VLOOKUP(S221,Data!$H$22:$I$25,2,FALSE)*T221</f>
        <v>250000</v>
      </c>
      <c r="V221" s="180">
        <f t="shared" si="142"/>
        <v>0.85470085470085466</v>
      </c>
      <c r="W221" s="180">
        <f t="shared" si="143"/>
        <v>0.17</v>
      </c>
      <c r="X221" s="22" t="str">
        <f t="shared" si="144"/>
        <v>Yes</v>
      </c>
      <c r="Y221" s="180">
        <f t="shared" si="145"/>
        <v>0.02</v>
      </c>
      <c r="Z221" s="146">
        <f t="shared" si="146"/>
        <v>5000</v>
      </c>
      <c r="AA221" s="146">
        <f t="shared" si="147"/>
        <v>5000</v>
      </c>
      <c r="AB221" s="72"/>
      <c r="AC221" s="146">
        <f>AB221/VLOOKUP(S221,Data!$H$22:$I$25,2,FALSE)</f>
        <v>0</v>
      </c>
      <c r="AD221" s="22" t="s">
        <v>157</v>
      </c>
      <c r="AE221" s="146">
        <f>VLOOKUP(S221,Data!$H$22:$J$25,3,FALSE)*T221</f>
        <v>7500</v>
      </c>
      <c r="AF221" s="8">
        <f>VLOOKUP(S221,Data!$H$22:$I$25,2,FALSE)*AE221</f>
        <v>7500</v>
      </c>
      <c r="AG221" s="8" t="s">
        <v>158</v>
      </c>
      <c r="AH221" s="23">
        <v>0.06</v>
      </c>
      <c r="AI221" s="72"/>
      <c r="AJ221" s="159">
        <f t="shared" si="148"/>
        <v>0.06</v>
      </c>
      <c r="AK221" s="168">
        <f t="shared" si="181"/>
        <v>15000</v>
      </c>
      <c r="AL221" s="160">
        <f t="shared" si="182"/>
        <v>15000</v>
      </c>
      <c r="AM221" s="168">
        <f t="shared" si="149"/>
        <v>265000</v>
      </c>
      <c r="AN221" s="160">
        <f t="shared" si="150"/>
        <v>265000</v>
      </c>
      <c r="AO221" s="160" t="str">
        <f t="shared" si="183"/>
        <v>No</v>
      </c>
      <c r="AP221" s="146">
        <f>IF(AQ221=0,0,AQ221/VLOOKUP(S221,Data!$H$22:$I$25,2,FALSE))</f>
        <v>0</v>
      </c>
      <c r="AQ221" s="183">
        <f t="shared" si="151"/>
        <v>0</v>
      </c>
      <c r="AR221" s="165">
        <f t="shared" si="152"/>
        <v>15000</v>
      </c>
      <c r="AS221" s="183">
        <f t="shared" si="153"/>
        <v>15000</v>
      </c>
      <c r="AT221" s="250">
        <f t="shared" si="154"/>
        <v>0.06</v>
      </c>
      <c r="AU221" s="146">
        <f t="shared" si="155"/>
        <v>265000</v>
      </c>
      <c r="AV221" s="8">
        <f t="shared" si="156"/>
        <v>265000</v>
      </c>
      <c r="AW221" s="8" t="str">
        <f t="shared" si="157"/>
        <v/>
      </c>
      <c r="AX221" s="180">
        <f t="shared" si="158"/>
        <v>0.90598290598290598</v>
      </c>
      <c r="AY221" s="146">
        <f t="shared" si="159"/>
        <v>0</v>
      </c>
      <c r="AZ221" s="146">
        <f t="shared" si="160"/>
        <v>0</v>
      </c>
      <c r="BA221" s="22" t="s">
        <v>159</v>
      </c>
      <c r="BB221" s="149"/>
      <c r="BC221" s="149"/>
      <c r="BD221" s="144"/>
      <c r="BE221" s="146" t="str">
        <f t="shared" si="161"/>
        <v/>
      </c>
      <c r="BF221" s="8" t="str">
        <f t="shared" si="162"/>
        <v/>
      </c>
      <c r="BG221" s="8" t="str">
        <f>IF(LEN(BC221)&gt;0,VLOOKUP(BC221,'Job Codes'!B214:I332,7,FALSE),"")</f>
        <v/>
      </c>
      <c r="BH221" s="192" t="str">
        <f>IF(LEN(BC221)&gt;0,VLOOKUP(BC221,'Job Codes'!B214:I332,8,FALSE),"")</f>
        <v/>
      </c>
      <c r="BI221" s="192" t="str">
        <f>IF(LEN(BC221)&gt;0,VLOOKUP(BC221,'Job Codes'!$B$2:$J$120,9,FALSE),"")</f>
        <v/>
      </c>
      <c r="BJ221" s="146" t="str">
        <f>IF(LEN(BC221)&gt;0,VLOOKUP(BC221,'Job Codes'!$B$2:$I$120,4,FALSE),"")</f>
        <v/>
      </c>
      <c r="BK221" s="146" t="str">
        <f>IF(LEN(BC221)&gt;0,VLOOKUP(BC221,'Job Codes'!$B$2:$I$120,5,FALSE),"")</f>
        <v/>
      </c>
      <c r="BL221" s="146" t="str">
        <f>IF(LEN(BC221)&gt;0,VLOOKUP(BC221,'Job Codes'!$B$2:$I$120,6,FALSE),"")</f>
        <v/>
      </c>
      <c r="BM221" s="168">
        <f t="shared" si="163"/>
        <v>265000</v>
      </c>
      <c r="BN221" s="160">
        <f t="shared" si="164"/>
        <v>265000</v>
      </c>
      <c r="BO221" s="22" t="s">
        <v>157</v>
      </c>
      <c r="BP221" s="157">
        <f>VLOOKUP(I221,'Job Codes'!$B$2:$I$120,8,FALSE)</f>
        <v>0.3</v>
      </c>
      <c r="BQ221" s="25" t="str">
        <f>IF(O221&gt;Data!$H$33,"Yes","No")</f>
        <v>No</v>
      </c>
      <c r="BR221" s="191">
        <v>0.3</v>
      </c>
      <c r="BS221" s="150">
        <f t="shared" si="165"/>
        <v>75000</v>
      </c>
      <c r="BT221" s="25">
        <f t="shared" si="166"/>
        <v>75000</v>
      </c>
      <c r="BU221" s="161">
        <v>1</v>
      </c>
      <c r="BV221" s="168">
        <f t="shared" si="167"/>
        <v>75000</v>
      </c>
      <c r="BW221" s="160">
        <f t="shared" si="168"/>
        <v>75000</v>
      </c>
      <c r="BX221" s="149"/>
      <c r="BY221" s="32">
        <f t="shared" si="169"/>
        <v>0</v>
      </c>
      <c r="BZ221" s="22" t="s">
        <v>528</v>
      </c>
      <c r="CA221" s="231">
        <f>VLOOKUP(I221,'Job Codes'!$B$2:$J$120,9,FALSE)</f>
        <v>0.3</v>
      </c>
      <c r="CB221" s="253">
        <f t="shared" si="170"/>
        <v>75000</v>
      </c>
      <c r="CC221" s="72"/>
      <c r="CD221" s="25" t="str">
        <f t="shared" si="171"/>
        <v>Exceeds</v>
      </c>
      <c r="CE221" s="27"/>
      <c r="CF221" s="27"/>
      <c r="CG221" s="27"/>
      <c r="CH221" s="27"/>
      <c r="CI221" s="27"/>
      <c r="CJ221" s="3"/>
      <c r="CK221" s="3"/>
      <c r="CL221" s="3"/>
      <c r="CM221" s="3"/>
      <c r="CN221" s="3"/>
      <c r="CO221" s="3"/>
      <c r="CP221" s="3">
        <v>12345</v>
      </c>
      <c r="CQ221" s="3" t="s">
        <v>163</v>
      </c>
      <c r="CR221" s="246" t="s">
        <v>256</v>
      </c>
      <c r="CS221" s="247" t="s">
        <v>257</v>
      </c>
      <c r="CT221" s="246" t="s">
        <v>199</v>
      </c>
      <c r="CU221" s="247" t="s">
        <v>200</v>
      </c>
      <c r="CV221" s="3" t="str">
        <f t="shared" si="172"/>
        <v>86672;36523</v>
      </c>
      <c r="CW221" s="3" t="s">
        <v>168</v>
      </c>
      <c r="CX221" s="3" t="str">
        <f t="shared" si="173"/>
        <v>;;BB221:BD221;;</v>
      </c>
      <c r="CY221" s="5" t="str">
        <f t="shared" si="174"/>
        <v>Unlock</v>
      </c>
      <c r="CZ221" s="5" t="str">
        <f t="shared" si="175"/>
        <v>Lock</v>
      </c>
      <c r="DA221" s="5" t="str">
        <f t="shared" si="176"/>
        <v>Lock</v>
      </c>
      <c r="DB221" s="5" t="str">
        <f t="shared" si="177"/>
        <v>Lock</v>
      </c>
      <c r="DC221" s="5" t="str">
        <f t="shared" si="178"/>
        <v>Lock</v>
      </c>
      <c r="DD221" s="78" t="str">
        <f t="shared" si="179"/>
        <v>Final</v>
      </c>
      <c r="DE221" s="2"/>
      <c r="DF221" s="2"/>
      <c r="DG221" s="2"/>
      <c r="DH221" s="2"/>
      <c r="DI221" s="2"/>
      <c r="DJ221" s="2"/>
      <c r="DK221" s="5"/>
      <c r="DL221" s="2"/>
      <c r="DM221" s="2"/>
      <c r="DN221" s="2"/>
      <c r="DO221" s="2"/>
      <c r="DP221" s="2"/>
      <c r="DQ221" s="2"/>
      <c r="DR221" s="2"/>
      <c r="DS221" s="2"/>
      <c r="DT221" s="2"/>
      <c r="DU221" s="2"/>
      <c r="DV221" s="2"/>
      <c r="DW221" s="2"/>
      <c r="DX221" s="2"/>
      <c r="DY221" s="2"/>
      <c r="DZ221" s="2"/>
      <c r="EA221" s="2"/>
      <c r="EB221" s="2"/>
      <c r="EC221" s="2"/>
      <c r="ED221" s="2"/>
      <c r="EE221" s="2"/>
      <c r="EF221" s="1"/>
      <c r="EG221" s="98"/>
      <c r="EH221" s="98"/>
      <c r="EI221" s="1"/>
      <c r="EJ221" s="1"/>
      <c r="EK221" s="98"/>
      <c r="EL221" s="1"/>
    </row>
    <row r="222" spans="1:142">
      <c r="A222" s="32">
        <f t="shared" si="138"/>
        <v>4567</v>
      </c>
      <c r="B222" s="3" t="str">
        <f t="shared" si="139"/>
        <v>sv_statement//Statement//Export Statement&amp;PDFID=John Smith_4567&amp;SO=Y</v>
      </c>
      <c r="C222" s="5" t="str">
        <f t="shared" si="180"/>
        <v>Statement</v>
      </c>
      <c r="D222" s="5" t="str">
        <f t="shared" si="140"/>
        <v>John Smith_4567</v>
      </c>
      <c r="E222" s="5"/>
      <c r="F222" s="5">
        <v>4567</v>
      </c>
      <c r="G222" s="22" t="s">
        <v>529</v>
      </c>
      <c r="H222" s="5" t="s">
        <v>367</v>
      </c>
      <c r="I222" s="5" t="s">
        <v>494</v>
      </c>
      <c r="J222" s="5" t="s">
        <v>152</v>
      </c>
      <c r="K222" s="5" t="s">
        <v>211</v>
      </c>
      <c r="L222" s="31">
        <f t="shared" si="141"/>
        <v>29271</v>
      </c>
      <c r="M222" s="5" t="s">
        <v>255</v>
      </c>
      <c r="N222" s="22" t="s">
        <v>155</v>
      </c>
      <c r="O222" s="100">
        <v>44589</v>
      </c>
      <c r="P222" s="146">
        <f>VLOOKUP(I222,'Job Codes'!$B$2:$I$120,4,FALSE)</f>
        <v>27000</v>
      </c>
      <c r="Q222" s="146">
        <f>VLOOKUP(I222,'Job Codes'!$B$2:$I$120,5,FALSE)</f>
        <v>35100</v>
      </c>
      <c r="R222" s="146">
        <f>VLOOKUP(I222,'Job Codes'!$B$2:$I$120,6,FALSE)</f>
        <v>42120</v>
      </c>
      <c r="S222" s="22" t="s">
        <v>171</v>
      </c>
      <c r="T222" s="146">
        <v>55000</v>
      </c>
      <c r="U222" s="8">
        <f>VLOOKUP(S222,Data!$H$22:$I$25,2,FALSE)*T222</f>
        <v>55000</v>
      </c>
      <c r="V222" s="180">
        <f t="shared" si="142"/>
        <v>1.566951566951567</v>
      </c>
      <c r="W222" s="180">
        <f t="shared" si="143"/>
        <v>0</v>
      </c>
      <c r="X222" s="22" t="str">
        <f t="shared" si="144"/>
        <v>No</v>
      </c>
      <c r="Y222" s="180">
        <f t="shared" si="145"/>
        <v>0</v>
      </c>
      <c r="Z222" s="146">
        <f t="shared" si="146"/>
        <v>0</v>
      </c>
      <c r="AA222" s="146">
        <f t="shared" si="147"/>
        <v>0</v>
      </c>
      <c r="AB222" s="72"/>
      <c r="AC222" s="146">
        <f>AB222/VLOOKUP(S222,Data!$H$22:$I$25,2,FALSE)</f>
        <v>0</v>
      </c>
      <c r="AD222" s="22" t="s">
        <v>157</v>
      </c>
      <c r="AE222" s="146">
        <f>VLOOKUP(S222,Data!$H$22:$J$25,3,FALSE)*T222</f>
        <v>1650</v>
      </c>
      <c r="AF222" s="8">
        <f>VLOOKUP(S222,Data!$H$22:$I$25,2,FALSE)*AE222</f>
        <v>1650</v>
      </c>
      <c r="AG222" s="8" t="s">
        <v>172</v>
      </c>
      <c r="AH222" s="23">
        <v>0.06</v>
      </c>
      <c r="AI222" s="72"/>
      <c r="AJ222" s="159">
        <f t="shared" si="148"/>
        <v>0.06</v>
      </c>
      <c r="AK222" s="168">
        <f t="shared" si="181"/>
        <v>3300</v>
      </c>
      <c r="AL222" s="160">
        <f t="shared" si="182"/>
        <v>3300</v>
      </c>
      <c r="AM222" s="168">
        <f t="shared" si="149"/>
        <v>58300</v>
      </c>
      <c r="AN222" s="160">
        <f t="shared" si="150"/>
        <v>58300</v>
      </c>
      <c r="AO222" s="160" t="str">
        <f t="shared" si="183"/>
        <v>Yes by USD 16,180</v>
      </c>
      <c r="AP222" s="146">
        <f>IF(AQ222=0,0,AQ222/VLOOKUP(S222,Data!$H$22:$I$25,2,FALSE))</f>
        <v>3300</v>
      </c>
      <c r="AQ222" s="183">
        <f t="shared" si="151"/>
        <v>3300</v>
      </c>
      <c r="AR222" s="165">
        <f t="shared" si="152"/>
        <v>0</v>
      </c>
      <c r="AS222" s="183">
        <f t="shared" si="153"/>
        <v>0</v>
      </c>
      <c r="AT222" s="250">
        <f t="shared" si="154"/>
        <v>0</v>
      </c>
      <c r="AU222" s="146">
        <f t="shared" si="155"/>
        <v>55000</v>
      </c>
      <c r="AV222" s="8">
        <f t="shared" si="156"/>
        <v>55000</v>
      </c>
      <c r="AW222" s="8" t="str">
        <f t="shared" si="157"/>
        <v>Not within guidelines</v>
      </c>
      <c r="AX222" s="180">
        <f t="shared" si="158"/>
        <v>1.566951566951567</v>
      </c>
      <c r="AY222" s="146">
        <f t="shared" si="159"/>
        <v>1</v>
      </c>
      <c r="AZ222" s="146">
        <f t="shared" si="160"/>
        <v>1</v>
      </c>
      <c r="BA222" s="22" t="s">
        <v>159</v>
      </c>
      <c r="BB222" s="149"/>
      <c r="BC222" s="149"/>
      <c r="BD222" s="144"/>
      <c r="BE222" s="146" t="str">
        <f t="shared" si="161"/>
        <v/>
      </c>
      <c r="BF222" s="8" t="str">
        <f t="shared" si="162"/>
        <v/>
      </c>
      <c r="BG222" s="8" t="str">
        <f>IF(LEN(BC222)&gt;0,VLOOKUP(BC222,'Job Codes'!B215:I333,7,FALSE),"")</f>
        <v/>
      </c>
      <c r="BH222" s="192" t="str">
        <f>IF(LEN(BC222)&gt;0,VLOOKUP(BC222,'Job Codes'!B215:I333,8,FALSE),"")</f>
        <v/>
      </c>
      <c r="BI222" s="192" t="str">
        <f>IF(LEN(BC222)&gt;0,VLOOKUP(BC222,'Job Codes'!$B$2:$J$120,9,FALSE),"")</f>
        <v/>
      </c>
      <c r="BJ222" s="146" t="str">
        <f>IF(LEN(BC222)&gt;0,VLOOKUP(BC222,'Job Codes'!$B$2:$I$120,4,FALSE),"")</f>
        <v/>
      </c>
      <c r="BK222" s="146" t="str">
        <f>IF(LEN(BC222)&gt;0,VLOOKUP(BC222,'Job Codes'!$B$2:$I$120,5,FALSE),"")</f>
        <v/>
      </c>
      <c r="BL222" s="146" t="str">
        <f>IF(LEN(BC222)&gt;0,VLOOKUP(BC222,'Job Codes'!$B$2:$I$120,6,FALSE),"")</f>
        <v/>
      </c>
      <c r="BM222" s="168">
        <f t="shared" si="163"/>
        <v>55000</v>
      </c>
      <c r="BN222" s="160">
        <f t="shared" si="164"/>
        <v>55000</v>
      </c>
      <c r="BO222" s="22" t="s">
        <v>157</v>
      </c>
      <c r="BP222" s="157">
        <f>VLOOKUP(I222,'Job Codes'!$B$2:$I$120,8,FALSE)</f>
        <v>0.05</v>
      </c>
      <c r="BQ222" s="25" t="str">
        <f>IF(O222&gt;Data!$H$33,"Yes","No")</f>
        <v>No</v>
      </c>
      <c r="BR222" s="191">
        <v>0.05</v>
      </c>
      <c r="BS222" s="150">
        <f t="shared" si="165"/>
        <v>2750</v>
      </c>
      <c r="BT222" s="25">
        <f t="shared" si="166"/>
        <v>2750</v>
      </c>
      <c r="BU222" s="161">
        <v>1</v>
      </c>
      <c r="BV222" s="168">
        <f t="shared" si="167"/>
        <v>2750</v>
      </c>
      <c r="BW222" s="160">
        <f t="shared" si="168"/>
        <v>2750</v>
      </c>
      <c r="BX222" s="149"/>
      <c r="BY222" s="32">
        <f t="shared" si="169"/>
        <v>0</v>
      </c>
      <c r="BZ222" s="22" t="s">
        <v>159</v>
      </c>
      <c r="CA222" s="231">
        <f>VLOOKUP(I222,'Job Codes'!$B$2:$J$120,9,FALSE)</f>
        <v>0</v>
      </c>
      <c r="CB222" s="253">
        <f t="shared" si="170"/>
        <v>0</v>
      </c>
      <c r="CC222" s="72"/>
      <c r="CD222" s="25" t="str">
        <f t="shared" si="171"/>
        <v>Below</v>
      </c>
      <c r="CE222" s="27"/>
      <c r="CF222" s="27"/>
      <c r="CG222" s="27"/>
      <c r="CH222" s="27"/>
      <c r="CI222" s="27"/>
      <c r="CJ222" s="3"/>
      <c r="CK222" s="3"/>
      <c r="CL222" s="3"/>
      <c r="CM222" s="3"/>
      <c r="CN222" s="3">
        <v>4571</v>
      </c>
      <c r="CO222" s="3" t="s">
        <v>162</v>
      </c>
      <c r="CP222" s="3">
        <v>12345</v>
      </c>
      <c r="CQ222" s="3" t="s">
        <v>163</v>
      </c>
      <c r="CR222" s="246" t="s">
        <v>256</v>
      </c>
      <c r="CS222" s="247" t="s">
        <v>257</v>
      </c>
      <c r="CT222" s="246" t="s">
        <v>199</v>
      </c>
      <c r="CU222" s="247" t="s">
        <v>200</v>
      </c>
      <c r="CV222" s="3" t="str">
        <f t="shared" si="172"/>
        <v>86672;36523</v>
      </c>
      <c r="CW222" s="3" t="s">
        <v>168</v>
      </c>
      <c r="CX222" s="3" t="str">
        <f t="shared" si="173"/>
        <v>AB222;;BB222:BD222;;CC222</v>
      </c>
      <c r="CY222" s="5" t="str">
        <f t="shared" si="174"/>
        <v>Unlock</v>
      </c>
      <c r="CZ222" s="5" t="str">
        <f t="shared" si="175"/>
        <v>Lock</v>
      </c>
      <c r="DA222" s="5" t="str">
        <f t="shared" si="176"/>
        <v>Lock</v>
      </c>
      <c r="DB222" s="5" t="str">
        <f t="shared" si="177"/>
        <v>Lock</v>
      </c>
      <c r="DC222" s="5" t="str">
        <f t="shared" si="178"/>
        <v>Lock</v>
      </c>
      <c r="DD222" s="78">
        <f t="shared" si="179"/>
        <v>4</v>
      </c>
      <c r="DE222" s="2"/>
      <c r="DF222" s="2"/>
      <c r="DG222" s="2"/>
      <c r="DH222" s="2"/>
      <c r="DI222" s="2"/>
      <c r="DJ222" s="2"/>
      <c r="DK222" s="5"/>
      <c r="DL222" s="2"/>
      <c r="DM222" s="2"/>
      <c r="DN222" s="2"/>
      <c r="DO222" s="2"/>
      <c r="DP222" s="2"/>
      <c r="DQ222" s="2"/>
      <c r="DR222" s="2"/>
      <c r="DS222" s="2"/>
      <c r="DT222" s="2"/>
      <c r="DU222" s="2"/>
      <c r="DV222" s="2"/>
      <c r="DW222" s="2"/>
      <c r="DX222" s="2"/>
      <c r="DY222" s="2"/>
      <c r="DZ222" s="2"/>
      <c r="EA222" s="2"/>
      <c r="EB222" s="2"/>
      <c r="EC222" s="2"/>
      <c r="ED222" s="2"/>
      <c r="EE222" s="2"/>
      <c r="EF222" s="1"/>
      <c r="EG222" s="98"/>
      <c r="EH222" s="98"/>
      <c r="EI222" s="1"/>
      <c r="EJ222" s="1"/>
      <c r="EK222" s="98"/>
      <c r="EL222" s="1"/>
    </row>
    <row r="223" spans="1:142">
      <c r="A223" s="32">
        <f t="shared" si="138"/>
        <v>4569</v>
      </c>
      <c r="B223" s="3" t="str">
        <f t="shared" si="139"/>
        <v>sv_statement//Statement//Export Statement&amp;PDFID=Gina Hernandez_4569&amp;SO=Y</v>
      </c>
      <c r="C223" s="5" t="str">
        <f t="shared" si="180"/>
        <v>Statement</v>
      </c>
      <c r="D223" s="5" t="str">
        <f t="shared" si="140"/>
        <v>Gina Hernandez_4569</v>
      </c>
      <c r="E223" s="5"/>
      <c r="F223" s="5">
        <v>4569</v>
      </c>
      <c r="G223" s="22" t="s">
        <v>161</v>
      </c>
      <c r="H223" s="5"/>
      <c r="I223" s="5" t="s">
        <v>526</v>
      </c>
      <c r="J223" s="5" t="s">
        <v>152</v>
      </c>
      <c r="K223" s="5" t="s">
        <v>193</v>
      </c>
      <c r="L223" s="31">
        <f t="shared" si="141"/>
        <v>4571</v>
      </c>
      <c r="M223" s="5" t="s">
        <v>162</v>
      </c>
      <c r="N223" s="22" t="s">
        <v>155</v>
      </c>
      <c r="O223" s="100">
        <v>45345</v>
      </c>
      <c r="P223" s="146">
        <f>VLOOKUP(I223,'Job Codes'!$B$2:$I$120,4,FALSE)</f>
        <v>66000</v>
      </c>
      <c r="Q223" s="146">
        <f>VLOOKUP(I223,'Job Codes'!$B$2:$I$120,5,FALSE)</f>
        <v>85800</v>
      </c>
      <c r="R223" s="146">
        <f>VLOOKUP(I223,'Job Codes'!$B$2:$I$120,6,FALSE)</f>
        <v>102960</v>
      </c>
      <c r="S223" s="22" t="s">
        <v>171</v>
      </c>
      <c r="T223" s="146">
        <v>64897</v>
      </c>
      <c r="U223" s="8">
        <f>VLOOKUP(S223,Data!$H$22:$I$25,2,FALSE)*T223</f>
        <v>64897</v>
      </c>
      <c r="V223" s="180">
        <f t="shared" si="142"/>
        <v>0.75637529137529136</v>
      </c>
      <c r="W223" s="180">
        <f t="shared" si="143"/>
        <v>0.3220950120960907</v>
      </c>
      <c r="X223" s="22" t="str">
        <f t="shared" si="144"/>
        <v>Yes</v>
      </c>
      <c r="Y223" s="180">
        <f t="shared" si="145"/>
        <v>0.02</v>
      </c>
      <c r="Z223" s="146">
        <f t="shared" si="146"/>
        <v>1297.94</v>
      </c>
      <c r="AA223" s="146">
        <f t="shared" si="147"/>
        <v>1297.94</v>
      </c>
      <c r="AB223" s="72"/>
      <c r="AC223" s="146">
        <f>AB223/VLOOKUP(S223,Data!$H$22:$I$25,2,FALSE)</f>
        <v>0</v>
      </c>
      <c r="AD223" s="22" t="s">
        <v>157</v>
      </c>
      <c r="AE223" s="146">
        <f>VLOOKUP(S223,Data!$H$22:$J$25,3,FALSE)*T223</f>
        <v>1946.9099999999999</v>
      </c>
      <c r="AF223" s="8">
        <f>VLOOKUP(S223,Data!$H$22:$I$25,2,FALSE)*AE223</f>
        <v>1946.9099999999999</v>
      </c>
      <c r="AG223" s="8" t="s">
        <v>158</v>
      </c>
      <c r="AH223" s="23"/>
      <c r="AI223" s="72">
        <v>1622</v>
      </c>
      <c r="AJ223" s="159">
        <f t="shared" si="148"/>
        <v>2.4993451161070619E-2</v>
      </c>
      <c r="AK223" s="168">
        <f t="shared" si="181"/>
        <v>1622</v>
      </c>
      <c r="AL223" s="160">
        <f t="shared" si="182"/>
        <v>1622</v>
      </c>
      <c r="AM223" s="168">
        <f t="shared" si="149"/>
        <v>66519</v>
      </c>
      <c r="AN223" s="160">
        <f t="shared" si="150"/>
        <v>66519</v>
      </c>
      <c r="AO223" s="160" t="str">
        <f t="shared" si="183"/>
        <v>No</v>
      </c>
      <c r="AP223" s="146">
        <f>IF(AQ223=0,0,AQ223/VLOOKUP(S223,Data!$H$22:$I$25,2,FALSE))</f>
        <v>0</v>
      </c>
      <c r="AQ223" s="183">
        <f t="shared" si="151"/>
        <v>0</v>
      </c>
      <c r="AR223" s="165">
        <f t="shared" si="152"/>
        <v>1622</v>
      </c>
      <c r="AS223" s="183">
        <f t="shared" si="153"/>
        <v>1622</v>
      </c>
      <c r="AT223" s="250">
        <f t="shared" si="154"/>
        <v>2.4993451161070619E-2</v>
      </c>
      <c r="AU223" s="146">
        <f t="shared" si="155"/>
        <v>66519</v>
      </c>
      <c r="AV223" s="8">
        <f t="shared" si="156"/>
        <v>66519</v>
      </c>
      <c r="AW223" s="8" t="str">
        <f t="shared" si="157"/>
        <v>Not within guidelines</v>
      </c>
      <c r="AX223" s="180">
        <f t="shared" si="158"/>
        <v>0.77527972027972025</v>
      </c>
      <c r="AY223" s="146">
        <f t="shared" si="159"/>
        <v>1</v>
      </c>
      <c r="AZ223" s="146">
        <f t="shared" si="160"/>
        <v>1</v>
      </c>
      <c r="BA223" s="22" t="s">
        <v>159</v>
      </c>
      <c r="BB223" s="149"/>
      <c r="BC223" s="149"/>
      <c r="BD223" s="144"/>
      <c r="BE223" s="146" t="str">
        <f t="shared" si="161"/>
        <v/>
      </c>
      <c r="BF223" s="8" t="str">
        <f t="shared" si="162"/>
        <v/>
      </c>
      <c r="BG223" s="8" t="str">
        <f>IF(LEN(BC223)&gt;0,VLOOKUP(BC223,'Job Codes'!B216:I334,7,FALSE),"")</f>
        <v/>
      </c>
      <c r="BH223" s="192" t="str">
        <f>IF(LEN(BC223)&gt;0,VLOOKUP(BC223,'Job Codes'!B216:I334,8,FALSE),"")</f>
        <v/>
      </c>
      <c r="BI223" s="192" t="str">
        <f>IF(LEN(BC223)&gt;0,VLOOKUP(BC223,'Job Codes'!$B$2:$J$120,9,FALSE),"")</f>
        <v/>
      </c>
      <c r="BJ223" s="146" t="str">
        <f>IF(LEN(BC223)&gt;0,VLOOKUP(BC223,'Job Codes'!$B$2:$I$120,4,FALSE),"")</f>
        <v/>
      </c>
      <c r="BK223" s="146" t="str">
        <f>IF(LEN(BC223)&gt;0,VLOOKUP(BC223,'Job Codes'!$B$2:$I$120,5,FALSE),"")</f>
        <v/>
      </c>
      <c r="BL223" s="146" t="str">
        <f>IF(LEN(BC223)&gt;0,VLOOKUP(BC223,'Job Codes'!$B$2:$I$120,6,FALSE),"")</f>
        <v/>
      </c>
      <c r="BM223" s="168">
        <f t="shared" si="163"/>
        <v>66519</v>
      </c>
      <c r="BN223" s="160">
        <f t="shared" si="164"/>
        <v>66519</v>
      </c>
      <c r="BO223" s="22" t="s">
        <v>157</v>
      </c>
      <c r="BP223" s="157">
        <f>VLOOKUP(I223,'Job Codes'!$B$2:$I$120,8,FALSE)</f>
        <v>0.25</v>
      </c>
      <c r="BQ223" s="25" t="str">
        <f>IF(O223&gt;Data!$H$33,"Yes","No")</f>
        <v>Yes</v>
      </c>
      <c r="BR223" s="191">
        <v>0.09</v>
      </c>
      <c r="BS223" s="150">
        <f t="shared" si="165"/>
        <v>5840.73</v>
      </c>
      <c r="BT223" s="25">
        <f t="shared" si="166"/>
        <v>5840.73</v>
      </c>
      <c r="BU223" s="161">
        <v>1</v>
      </c>
      <c r="BV223" s="168">
        <f t="shared" si="167"/>
        <v>5840.73</v>
      </c>
      <c r="BW223" s="160">
        <f t="shared" si="168"/>
        <v>5840.73</v>
      </c>
      <c r="BX223" s="149"/>
      <c r="BY223" s="32">
        <f t="shared" si="169"/>
        <v>0</v>
      </c>
      <c r="BZ223" s="22" t="s">
        <v>157</v>
      </c>
      <c r="CA223" s="231">
        <f>VLOOKUP(I223,'Job Codes'!$B$2:$J$120,9,FALSE)</f>
        <v>0.25</v>
      </c>
      <c r="CB223" s="253">
        <f t="shared" si="170"/>
        <v>16224.25</v>
      </c>
      <c r="CC223" s="72"/>
      <c r="CD223" s="25" t="str">
        <f t="shared" si="171"/>
        <v>Exceeds</v>
      </c>
      <c r="CE223" s="27"/>
      <c r="CF223" s="27"/>
      <c r="CG223" s="27"/>
      <c r="CH223" s="27"/>
      <c r="CI223" s="27"/>
      <c r="CJ223" s="3"/>
      <c r="CK223" s="3"/>
      <c r="CL223" s="3"/>
      <c r="CM223" s="3"/>
      <c r="CN223" s="3"/>
      <c r="CO223" s="3"/>
      <c r="CP223" s="3">
        <v>12345</v>
      </c>
      <c r="CQ223" s="3" t="s">
        <v>163</v>
      </c>
      <c r="CR223" s="246" t="s">
        <v>256</v>
      </c>
      <c r="CS223" s="247" t="s">
        <v>257</v>
      </c>
      <c r="CT223" s="246" t="s">
        <v>199</v>
      </c>
      <c r="CU223" s="247" t="s">
        <v>200</v>
      </c>
      <c r="CV223" s="3" t="str">
        <f t="shared" si="172"/>
        <v>86672;36523</v>
      </c>
      <c r="CW223" s="3" t="s">
        <v>168</v>
      </c>
      <c r="CX223" s="3" t="str">
        <f t="shared" si="173"/>
        <v>;;BB223:BD223;;</v>
      </c>
      <c r="CY223" s="5" t="str">
        <f t="shared" si="174"/>
        <v>Unlock</v>
      </c>
      <c r="CZ223" s="5" t="str">
        <f t="shared" si="175"/>
        <v>Lock</v>
      </c>
      <c r="DA223" s="5" t="str">
        <f t="shared" si="176"/>
        <v>Lock</v>
      </c>
      <c r="DB223" s="5" t="str">
        <f t="shared" si="177"/>
        <v>Lock</v>
      </c>
      <c r="DC223" s="5" t="str">
        <f t="shared" si="178"/>
        <v>Lock</v>
      </c>
      <c r="DD223" s="78" t="str">
        <f t="shared" si="179"/>
        <v>Final</v>
      </c>
      <c r="DE223" s="1"/>
      <c r="DF223" s="1"/>
      <c r="DG223" s="1"/>
      <c r="DH223" s="1"/>
      <c r="DI223" s="1"/>
      <c r="DJ223" s="1"/>
      <c r="DK223" s="5"/>
      <c r="DL223" s="1"/>
      <c r="DM223" s="1"/>
      <c r="DN223" s="1"/>
      <c r="DO223" s="1"/>
      <c r="DP223" s="1"/>
      <c r="DQ223" s="1"/>
      <c r="DR223" s="1"/>
      <c r="DS223" s="1"/>
      <c r="DT223" s="1"/>
      <c r="DU223" s="1"/>
      <c r="DV223" s="1"/>
      <c r="DW223" s="1"/>
      <c r="DX223" s="1"/>
      <c r="DY223" s="1"/>
      <c r="DZ223" s="1"/>
      <c r="EA223" s="1"/>
      <c r="EB223" s="1"/>
      <c r="EC223" s="1"/>
      <c r="ED223" s="1"/>
      <c r="EE223" s="1"/>
      <c r="EF223" s="1"/>
      <c r="EG223" s="98"/>
      <c r="EH223" s="98"/>
      <c r="EI223" s="1"/>
      <c r="EJ223" s="1"/>
      <c r="EK223" s="98"/>
      <c r="EL223" s="1"/>
    </row>
    <row r="224" spans="1:142">
      <c r="A224" s="32">
        <f t="shared" si="138"/>
        <v>4570</v>
      </c>
      <c r="B224" s="3" t="str">
        <f t="shared" si="139"/>
        <v>sv_statement//Statement//Export Statement&amp;PDFID=Natalie Turner_4570&amp;SO=Y</v>
      </c>
      <c r="C224" s="5" t="str">
        <f t="shared" si="180"/>
        <v>Statement</v>
      </c>
      <c r="D224" s="5" t="str">
        <f t="shared" si="140"/>
        <v>Natalie Turner_4570</v>
      </c>
      <c r="E224" s="5"/>
      <c r="F224" s="5">
        <v>4570</v>
      </c>
      <c r="G224" s="22" t="s">
        <v>530</v>
      </c>
      <c r="H224" s="5"/>
      <c r="I224" s="5" t="s">
        <v>526</v>
      </c>
      <c r="J224" s="5" t="s">
        <v>152</v>
      </c>
      <c r="K224" s="5" t="s">
        <v>209</v>
      </c>
      <c r="L224" s="31">
        <f t="shared" si="141"/>
        <v>4571</v>
      </c>
      <c r="M224" s="5" t="s">
        <v>162</v>
      </c>
      <c r="N224" s="22" t="s">
        <v>155</v>
      </c>
      <c r="O224" s="100">
        <v>37383</v>
      </c>
      <c r="P224" s="146">
        <f>VLOOKUP(I224,'Job Codes'!$B$2:$I$120,4,FALSE)</f>
        <v>66000</v>
      </c>
      <c r="Q224" s="146">
        <f>VLOOKUP(I224,'Job Codes'!$B$2:$I$120,5,FALSE)</f>
        <v>85800</v>
      </c>
      <c r="R224" s="146">
        <f>VLOOKUP(I224,'Job Codes'!$B$2:$I$120,6,FALSE)</f>
        <v>102960</v>
      </c>
      <c r="S224" s="22" t="s">
        <v>171</v>
      </c>
      <c r="T224" s="146">
        <v>63798</v>
      </c>
      <c r="U224" s="8">
        <f>VLOOKUP(S224,Data!$H$22:$I$25,2,FALSE)*T224</f>
        <v>63798</v>
      </c>
      <c r="V224" s="180">
        <f t="shared" si="142"/>
        <v>0.74356643356643359</v>
      </c>
      <c r="W224" s="180">
        <f t="shared" si="143"/>
        <v>0.34486974513307628</v>
      </c>
      <c r="X224" s="22" t="str">
        <f t="shared" si="144"/>
        <v>Yes</v>
      </c>
      <c r="Y224" s="180">
        <f t="shared" si="145"/>
        <v>0.02</v>
      </c>
      <c r="Z224" s="146">
        <f t="shared" si="146"/>
        <v>1275.96</v>
      </c>
      <c r="AA224" s="146">
        <f t="shared" si="147"/>
        <v>1275.96</v>
      </c>
      <c r="AB224" s="72"/>
      <c r="AC224" s="146">
        <f>AB224/VLOOKUP(S224,Data!$H$22:$I$25,2,FALSE)</f>
        <v>0</v>
      </c>
      <c r="AD224" s="22" t="s">
        <v>157</v>
      </c>
      <c r="AE224" s="146">
        <f>VLOOKUP(S224,Data!$H$22:$J$25,3,FALSE)*T224</f>
        <v>1913.9399999999998</v>
      </c>
      <c r="AF224" s="8">
        <f>VLOOKUP(S224,Data!$H$22:$I$25,2,FALSE)*AE224</f>
        <v>1913.9399999999998</v>
      </c>
      <c r="AG224" s="8" t="s">
        <v>158</v>
      </c>
      <c r="AH224" s="23">
        <v>0.06</v>
      </c>
      <c r="AI224" s="72"/>
      <c r="AJ224" s="159">
        <f t="shared" si="148"/>
        <v>0.06</v>
      </c>
      <c r="AK224" s="168">
        <f t="shared" si="181"/>
        <v>3827.8799999999997</v>
      </c>
      <c r="AL224" s="160">
        <f t="shared" si="182"/>
        <v>3827.8799999999997</v>
      </c>
      <c r="AM224" s="168">
        <f t="shared" si="149"/>
        <v>67625.88</v>
      </c>
      <c r="AN224" s="160">
        <f t="shared" si="150"/>
        <v>67625.88</v>
      </c>
      <c r="AO224" s="160" t="str">
        <f t="shared" si="183"/>
        <v>No</v>
      </c>
      <c r="AP224" s="146">
        <f>IF(AQ224=0,0,AQ224/VLOOKUP(S224,Data!$H$22:$I$25,2,FALSE))</f>
        <v>0</v>
      </c>
      <c r="AQ224" s="183">
        <f t="shared" si="151"/>
        <v>0</v>
      </c>
      <c r="AR224" s="165">
        <f t="shared" si="152"/>
        <v>3827.8799999999997</v>
      </c>
      <c r="AS224" s="183">
        <f t="shared" si="153"/>
        <v>3827.8799999999997</v>
      </c>
      <c r="AT224" s="250">
        <f t="shared" si="154"/>
        <v>0.06</v>
      </c>
      <c r="AU224" s="146">
        <f t="shared" si="155"/>
        <v>67625.88</v>
      </c>
      <c r="AV224" s="8">
        <f t="shared" si="156"/>
        <v>67625.88</v>
      </c>
      <c r="AW224" s="8" t="str">
        <f t="shared" si="157"/>
        <v/>
      </c>
      <c r="AX224" s="180">
        <f t="shared" si="158"/>
        <v>0.78818041958041962</v>
      </c>
      <c r="AY224" s="146">
        <f t="shared" si="159"/>
        <v>0</v>
      </c>
      <c r="AZ224" s="146">
        <f t="shared" si="160"/>
        <v>0</v>
      </c>
      <c r="BA224" s="22" t="s">
        <v>159</v>
      </c>
      <c r="BB224" s="149"/>
      <c r="BC224" s="149"/>
      <c r="BD224" s="144"/>
      <c r="BE224" s="146" t="str">
        <f t="shared" si="161"/>
        <v/>
      </c>
      <c r="BF224" s="8" t="str">
        <f t="shared" si="162"/>
        <v/>
      </c>
      <c r="BG224" s="8" t="str">
        <f>IF(LEN(BC224)&gt;0,VLOOKUP(BC224,'Job Codes'!B217:I335,7,FALSE),"")</f>
        <v/>
      </c>
      <c r="BH224" s="192" t="str">
        <f>IF(LEN(BC224)&gt;0,VLOOKUP(BC224,'Job Codes'!B217:I335,8,FALSE),"")</f>
        <v/>
      </c>
      <c r="BI224" s="192" t="str">
        <f>IF(LEN(BC224)&gt;0,VLOOKUP(BC224,'Job Codes'!$B$2:$J$120,9,FALSE),"")</f>
        <v/>
      </c>
      <c r="BJ224" s="146" t="str">
        <f>IF(LEN(BC224)&gt;0,VLOOKUP(BC224,'Job Codes'!$B$2:$I$120,4,FALSE),"")</f>
        <v/>
      </c>
      <c r="BK224" s="146" t="str">
        <f>IF(LEN(BC224)&gt;0,VLOOKUP(BC224,'Job Codes'!$B$2:$I$120,5,FALSE),"")</f>
        <v/>
      </c>
      <c r="BL224" s="146" t="str">
        <f>IF(LEN(BC224)&gt;0,VLOOKUP(BC224,'Job Codes'!$B$2:$I$120,6,FALSE),"")</f>
        <v/>
      </c>
      <c r="BM224" s="168">
        <f t="shared" si="163"/>
        <v>67625.88</v>
      </c>
      <c r="BN224" s="160">
        <f t="shared" si="164"/>
        <v>67625.88</v>
      </c>
      <c r="BO224" s="22" t="s">
        <v>157</v>
      </c>
      <c r="BP224" s="157">
        <f>VLOOKUP(I224,'Job Codes'!$B$2:$I$120,8,FALSE)</f>
        <v>0.25</v>
      </c>
      <c r="BQ224" s="25" t="str">
        <f>IF(O224&gt;Data!$H$33,"Yes","No")</f>
        <v>No</v>
      </c>
      <c r="BR224" s="191">
        <v>0.25</v>
      </c>
      <c r="BS224" s="150">
        <f t="shared" si="165"/>
        <v>15949.5</v>
      </c>
      <c r="BT224" s="25">
        <f t="shared" si="166"/>
        <v>15949.5</v>
      </c>
      <c r="BU224" s="161">
        <v>1</v>
      </c>
      <c r="BV224" s="168">
        <f t="shared" si="167"/>
        <v>15949.5</v>
      </c>
      <c r="BW224" s="160">
        <f t="shared" si="168"/>
        <v>15949.5</v>
      </c>
      <c r="BX224" s="149"/>
      <c r="BY224" s="32">
        <f t="shared" si="169"/>
        <v>0</v>
      </c>
      <c r="BZ224" s="22" t="s">
        <v>157</v>
      </c>
      <c r="CA224" s="231">
        <f>VLOOKUP(I224,'Job Codes'!$B$2:$J$120,9,FALSE)</f>
        <v>0.25</v>
      </c>
      <c r="CB224" s="253">
        <f t="shared" si="170"/>
        <v>15949.5</v>
      </c>
      <c r="CC224" s="72"/>
      <c r="CD224" s="25" t="str">
        <f t="shared" si="171"/>
        <v>Exceeds</v>
      </c>
      <c r="CE224" s="27"/>
      <c r="CF224" s="27"/>
      <c r="CG224" s="27"/>
      <c r="CH224" s="27"/>
      <c r="CI224" s="27"/>
      <c r="CJ224" s="3"/>
      <c r="CK224" s="3"/>
      <c r="CL224" s="3"/>
      <c r="CM224" s="3"/>
      <c r="CN224" s="3"/>
      <c r="CO224" s="3"/>
      <c r="CP224" s="3">
        <v>12345</v>
      </c>
      <c r="CQ224" s="3" t="s">
        <v>163</v>
      </c>
      <c r="CR224" s="246" t="s">
        <v>256</v>
      </c>
      <c r="CS224" s="247" t="s">
        <v>257</v>
      </c>
      <c r="CT224" s="246" t="s">
        <v>199</v>
      </c>
      <c r="CU224" s="247" t="s">
        <v>200</v>
      </c>
      <c r="CV224" s="3" t="str">
        <f t="shared" si="172"/>
        <v>86672;36523</v>
      </c>
      <c r="CW224" s="3" t="s">
        <v>168</v>
      </c>
      <c r="CX224" s="3" t="str">
        <f t="shared" si="173"/>
        <v>;;BB224:BD224;;</v>
      </c>
      <c r="CY224" s="5" t="str">
        <f t="shared" si="174"/>
        <v>Unlock</v>
      </c>
      <c r="CZ224" s="5" t="str">
        <f t="shared" si="175"/>
        <v>Lock</v>
      </c>
      <c r="DA224" s="5" t="str">
        <f t="shared" si="176"/>
        <v>Lock</v>
      </c>
      <c r="DB224" s="5" t="str">
        <f t="shared" si="177"/>
        <v>Lock</v>
      </c>
      <c r="DC224" s="5" t="str">
        <f t="shared" si="178"/>
        <v>Lock</v>
      </c>
      <c r="DD224" s="78" t="str">
        <f t="shared" si="179"/>
        <v>Final</v>
      </c>
      <c r="DE224" s="1"/>
      <c r="DF224" s="1"/>
      <c r="DG224" s="1"/>
      <c r="DH224" s="1"/>
      <c r="DI224" s="1"/>
      <c r="DJ224" s="1"/>
      <c r="DK224" s="5"/>
      <c r="DL224" s="1"/>
      <c r="DM224" s="1"/>
      <c r="DN224" s="1"/>
      <c r="DO224" s="1"/>
      <c r="DP224" s="1"/>
      <c r="DQ224" s="1"/>
      <c r="DR224" s="1"/>
      <c r="DS224" s="1"/>
      <c r="DT224" s="1"/>
      <c r="DU224" s="1"/>
      <c r="DV224" s="1"/>
      <c r="DW224" s="1"/>
      <c r="DX224" s="1"/>
      <c r="DY224" s="1"/>
      <c r="DZ224" s="1"/>
      <c r="EA224" s="1"/>
      <c r="EB224" s="1"/>
      <c r="EC224" s="1"/>
      <c r="ED224" s="1"/>
      <c r="EE224" s="1"/>
      <c r="EF224" s="1"/>
      <c r="EG224" s="98"/>
      <c r="EH224" s="98"/>
      <c r="EI224" s="1"/>
      <c r="EJ224" s="1"/>
      <c r="EK224" s="98"/>
      <c r="EL224" s="1"/>
    </row>
    <row r="225" spans="1:142">
      <c r="A225" s="32">
        <f t="shared" si="138"/>
        <v>4571</v>
      </c>
      <c r="B225" s="3" t="str">
        <f t="shared" si="139"/>
        <v>sv_statement//Statement//Export Statement&amp;PDFID=Erika Bettino_4571&amp;SO=Y</v>
      </c>
      <c r="C225" s="5" t="str">
        <f t="shared" si="180"/>
        <v>Statement</v>
      </c>
      <c r="D225" s="5" t="str">
        <f t="shared" si="140"/>
        <v>Erika Bettino_4571</v>
      </c>
      <c r="E225" s="5"/>
      <c r="F225" s="5">
        <v>4571</v>
      </c>
      <c r="G225" s="22" t="s">
        <v>162</v>
      </c>
      <c r="H225" s="5"/>
      <c r="I225" s="5" t="s">
        <v>526</v>
      </c>
      <c r="J225" s="5" t="s">
        <v>152</v>
      </c>
      <c r="K225" s="5" t="s">
        <v>319</v>
      </c>
      <c r="L225" s="31">
        <f t="shared" si="141"/>
        <v>12345</v>
      </c>
      <c r="M225" s="5" t="s">
        <v>163</v>
      </c>
      <c r="N225" s="22" t="s">
        <v>155</v>
      </c>
      <c r="O225" s="100">
        <v>43708</v>
      </c>
      <c r="P225" s="146">
        <f>VLOOKUP(I225,'Job Codes'!$B$2:$I$120,4,FALSE)</f>
        <v>66000</v>
      </c>
      <c r="Q225" s="146">
        <f>VLOOKUP(I225,'Job Codes'!$B$2:$I$120,5,FALSE)</f>
        <v>85800</v>
      </c>
      <c r="R225" s="146">
        <f>VLOOKUP(I225,'Job Codes'!$B$2:$I$120,6,FALSE)</f>
        <v>102960</v>
      </c>
      <c r="S225" s="22" t="s">
        <v>171</v>
      </c>
      <c r="T225" s="146">
        <v>75850</v>
      </c>
      <c r="U225" s="8">
        <f>VLOOKUP(S225,Data!$H$22:$I$25,2,FALSE)*T225</f>
        <v>75850</v>
      </c>
      <c r="V225" s="180">
        <f t="shared" si="142"/>
        <v>0.88403263403263399</v>
      </c>
      <c r="W225" s="180">
        <f t="shared" si="143"/>
        <v>0.13117996044825314</v>
      </c>
      <c r="X225" s="22" t="str">
        <f t="shared" si="144"/>
        <v>Yes</v>
      </c>
      <c r="Y225" s="180">
        <f t="shared" si="145"/>
        <v>0.02</v>
      </c>
      <c r="Z225" s="146">
        <f t="shared" si="146"/>
        <v>1517</v>
      </c>
      <c r="AA225" s="146">
        <f t="shared" si="147"/>
        <v>1517</v>
      </c>
      <c r="AB225" s="72"/>
      <c r="AC225" s="146">
        <f>AB225/VLOOKUP(S225,Data!$H$22:$I$25,2,FALSE)</f>
        <v>0</v>
      </c>
      <c r="AD225" s="22" t="s">
        <v>157</v>
      </c>
      <c r="AE225" s="146">
        <f>VLOOKUP(S225,Data!$H$22:$J$25,3,FALSE)*T225</f>
        <v>2275.5</v>
      </c>
      <c r="AF225" s="8">
        <f>VLOOKUP(S225,Data!$H$22:$I$25,2,FALSE)*AE225</f>
        <v>2275.5</v>
      </c>
      <c r="AG225" s="8" t="s">
        <v>178</v>
      </c>
      <c r="AH225" s="23"/>
      <c r="AI225" s="72">
        <v>1000</v>
      </c>
      <c r="AJ225" s="159">
        <f t="shared" si="148"/>
        <v>1.3183915622940013E-2</v>
      </c>
      <c r="AK225" s="168">
        <f t="shared" si="181"/>
        <v>1000</v>
      </c>
      <c r="AL225" s="160">
        <f t="shared" si="182"/>
        <v>1000</v>
      </c>
      <c r="AM225" s="168">
        <f t="shared" si="149"/>
        <v>76850</v>
      </c>
      <c r="AN225" s="160">
        <f t="shared" si="150"/>
        <v>76850</v>
      </c>
      <c r="AO225" s="160" t="str">
        <f t="shared" si="183"/>
        <v>No</v>
      </c>
      <c r="AP225" s="146">
        <f>IF(AQ225=0,0,AQ225/VLOOKUP(S225,Data!$H$22:$I$25,2,FALSE))</f>
        <v>0</v>
      </c>
      <c r="AQ225" s="183">
        <f t="shared" si="151"/>
        <v>0</v>
      </c>
      <c r="AR225" s="165">
        <f t="shared" si="152"/>
        <v>1000</v>
      </c>
      <c r="AS225" s="183">
        <f t="shared" si="153"/>
        <v>1000</v>
      </c>
      <c r="AT225" s="250">
        <f t="shared" si="154"/>
        <v>1.3183915622940013E-2</v>
      </c>
      <c r="AU225" s="146">
        <f t="shared" si="155"/>
        <v>76850</v>
      </c>
      <c r="AV225" s="8">
        <f t="shared" si="156"/>
        <v>76850</v>
      </c>
      <c r="AW225" s="8" t="str">
        <f t="shared" si="157"/>
        <v/>
      </c>
      <c r="AX225" s="180">
        <f t="shared" si="158"/>
        <v>0.89568764568764569</v>
      </c>
      <c r="AY225" s="146">
        <f t="shared" si="159"/>
        <v>0</v>
      </c>
      <c r="AZ225" s="146">
        <f t="shared" si="160"/>
        <v>0</v>
      </c>
      <c r="BA225" s="22" t="s">
        <v>159</v>
      </c>
      <c r="BB225" s="149"/>
      <c r="BC225" s="149"/>
      <c r="BD225" s="144"/>
      <c r="BE225" s="146" t="str">
        <f t="shared" si="161"/>
        <v/>
      </c>
      <c r="BF225" s="8" t="str">
        <f t="shared" si="162"/>
        <v/>
      </c>
      <c r="BG225" s="8" t="str">
        <f>IF(LEN(BC225)&gt;0,VLOOKUP(BC225,'Job Codes'!B218:I336,7,FALSE),"")</f>
        <v/>
      </c>
      <c r="BH225" s="192" t="str">
        <f>IF(LEN(BC225)&gt;0,VLOOKUP(BC225,'Job Codes'!B218:I336,8,FALSE),"")</f>
        <v/>
      </c>
      <c r="BI225" s="192" t="str">
        <f>IF(LEN(BC225)&gt;0,VLOOKUP(BC225,'Job Codes'!$B$2:$J$120,9,FALSE),"")</f>
        <v/>
      </c>
      <c r="BJ225" s="146" t="str">
        <f>IF(LEN(BC225)&gt;0,VLOOKUP(BC225,'Job Codes'!$B$2:$I$120,4,FALSE),"")</f>
        <v/>
      </c>
      <c r="BK225" s="146" t="str">
        <f>IF(LEN(BC225)&gt;0,VLOOKUP(BC225,'Job Codes'!$B$2:$I$120,5,FALSE),"")</f>
        <v/>
      </c>
      <c r="BL225" s="146" t="str">
        <f>IF(LEN(BC225)&gt;0,VLOOKUP(BC225,'Job Codes'!$B$2:$I$120,6,FALSE),"")</f>
        <v/>
      </c>
      <c r="BM225" s="168">
        <f t="shared" si="163"/>
        <v>76850</v>
      </c>
      <c r="BN225" s="160">
        <f t="shared" si="164"/>
        <v>76850</v>
      </c>
      <c r="BO225" s="22" t="s">
        <v>157</v>
      </c>
      <c r="BP225" s="157">
        <f>VLOOKUP(I225,'Job Codes'!$B$2:$I$120,8,FALSE)</f>
        <v>0.25</v>
      </c>
      <c r="BQ225" s="25" t="str">
        <f>IF(O225&gt;Data!$H$33,"Yes","No")</f>
        <v>No</v>
      </c>
      <c r="BR225" s="191">
        <v>0.25</v>
      </c>
      <c r="BS225" s="150">
        <f t="shared" si="165"/>
        <v>18962.5</v>
      </c>
      <c r="BT225" s="25">
        <f t="shared" si="166"/>
        <v>18962.5</v>
      </c>
      <c r="BU225" s="161">
        <v>1</v>
      </c>
      <c r="BV225" s="168">
        <f t="shared" si="167"/>
        <v>18962.5</v>
      </c>
      <c r="BW225" s="160">
        <f t="shared" si="168"/>
        <v>18962.5</v>
      </c>
      <c r="BX225" s="149"/>
      <c r="BY225" s="32">
        <f t="shared" si="169"/>
        <v>0</v>
      </c>
      <c r="BZ225" s="22" t="s">
        <v>157</v>
      </c>
      <c r="CA225" s="231">
        <f>VLOOKUP(I225,'Job Codes'!$B$2:$J$120,9,FALSE)</f>
        <v>0.25</v>
      </c>
      <c r="CB225" s="253">
        <f t="shared" si="170"/>
        <v>18962.5</v>
      </c>
      <c r="CC225" s="72"/>
      <c r="CD225" s="25" t="str">
        <f t="shared" si="171"/>
        <v>Meets</v>
      </c>
      <c r="CE225" s="27"/>
      <c r="CF225" s="27"/>
      <c r="CG225" s="27"/>
      <c r="CH225" s="27"/>
      <c r="CI225" s="27"/>
      <c r="CJ225" s="3"/>
      <c r="CK225" s="3"/>
      <c r="CL225" s="3"/>
      <c r="CM225" s="3"/>
      <c r="CN225" s="3"/>
      <c r="CO225" s="3"/>
      <c r="CP225" s="3">
        <v>12345</v>
      </c>
      <c r="CQ225" s="3" t="s">
        <v>163</v>
      </c>
      <c r="CR225" s="246" t="s">
        <v>256</v>
      </c>
      <c r="CS225" s="247" t="s">
        <v>257</v>
      </c>
      <c r="CT225" s="246" t="s">
        <v>199</v>
      </c>
      <c r="CU225" s="247" t="s">
        <v>200</v>
      </c>
      <c r="CV225" s="3" t="str">
        <f t="shared" si="172"/>
        <v>86672;36523</v>
      </c>
      <c r="CW225" s="3" t="s">
        <v>168</v>
      </c>
      <c r="CX225" s="3" t="str">
        <f t="shared" si="173"/>
        <v>;;BB225:BD225;;</v>
      </c>
      <c r="CY225" s="5" t="str">
        <f t="shared" si="174"/>
        <v>Unlock</v>
      </c>
      <c r="CZ225" s="5" t="str">
        <f t="shared" si="175"/>
        <v>Lock</v>
      </c>
      <c r="DA225" s="5" t="str">
        <f t="shared" si="176"/>
        <v>Lock</v>
      </c>
      <c r="DB225" s="5" t="str">
        <f t="shared" si="177"/>
        <v>Lock</v>
      </c>
      <c r="DC225" s="5" t="str">
        <f t="shared" si="178"/>
        <v>Lock</v>
      </c>
      <c r="DD225" s="78" t="str">
        <f t="shared" si="179"/>
        <v>Final</v>
      </c>
      <c r="DE225" s="1"/>
      <c r="DF225" s="1"/>
      <c r="DG225" s="1"/>
      <c r="DH225" s="1"/>
      <c r="DI225" s="1"/>
      <c r="DJ225" s="1"/>
      <c r="DK225" s="5"/>
      <c r="DL225" s="1"/>
      <c r="DM225" s="1"/>
      <c r="DN225" s="1"/>
      <c r="DO225" s="1"/>
      <c r="DP225" s="1"/>
      <c r="DQ225" s="1"/>
      <c r="DR225" s="1"/>
      <c r="DS225" s="1"/>
      <c r="DT225" s="1"/>
      <c r="DU225" s="1"/>
      <c r="DV225" s="1"/>
      <c r="DW225" s="1"/>
      <c r="DX225" s="1"/>
      <c r="DY225" s="1"/>
      <c r="DZ225" s="1"/>
      <c r="EA225" s="1"/>
      <c r="EB225" s="1"/>
      <c r="EC225" s="1"/>
      <c r="ED225" s="1"/>
      <c r="EE225" s="1"/>
      <c r="EF225" s="1"/>
      <c r="EG225" s="98"/>
      <c r="EH225" s="98"/>
      <c r="EI225" s="1"/>
      <c r="EJ225" s="1"/>
      <c r="EK225" s="98"/>
      <c r="EL225" s="1"/>
    </row>
  </sheetData>
  <mergeCells count="31">
    <mergeCell ref="A1:E1"/>
    <mergeCell ref="J1:K1"/>
    <mergeCell ref="AA1:AB1"/>
    <mergeCell ref="AE1:AF1"/>
    <mergeCell ref="AH1:AI1"/>
    <mergeCell ref="AK1:AP4"/>
    <mergeCell ref="BU1:BW1"/>
    <mergeCell ref="CA1:CC1"/>
    <mergeCell ref="DE1:DF1"/>
    <mergeCell ref="AE2:AF2"/>
    <mergeCell ref="BU2:BV2"/>
    <mergeCell ref="CA2:CB2"/>
    <mergeCell ref="AE3:AF3"/>
    <mergeCell ref="BU3:BV3"/>
    <mergeCell ref="CA3:CB3"/>
    <mergeCell ref="CY3:DB3"/>
    <mergeCell ref="AE4:AF4"/>
    <mergeCell ref="BU4:BV4"/>
    <mergeCell ref="CA4:CB4"/>
    <mergeCell ref="CY5:DD5"/>
    <mergeCell ref="A6:E6"/>
    <mergeCell ref="AH6:AI6"/>
    <mergeCell ref="BU6:BX6"/>
    <mergeCell ref="AE7:AW7"/>
    <mergeCell ref="BA7:BF7"/>
    <mergeCell ref="BO7:BX7"/>
    <mergeCell ref="C5:D5"/>
    <mergeCell ref="AH5:AI5"/>
    <mergeCell ref="AY5:AZ5"/>
    <mergeCell ref="BU5:BX5"/>
    <mergeCell ref="CJ5:CQ5"/>
  </mergeCells>
  <conditionalFormatting sqref="AB4">
    <cfRule type="expression" dxfId="29" priority="27">
      <formula>$AB$4&lt;0</formula>
    </cfRule>
  </conditionalFormatting>
  <conditionalFormatting sqref="AB9:AB225">
    <cfRule type="expression" dxfId="28" priority="9">
      <formula>AB9&gt;AA9</formula>
    </cfRule>
  </conditionalFormatting>
  <conditionalFormatting sqref="AG9:AG225">
    <cfRule type="cellIs" dxfId="27" priority="6" operator="equal">
      <formula>"Meets"</formula>
    </cfRule>
    <cfRule type="cellIs" dxfId="26" priority="8" operator="equal">
      <formula>"Exceeds"</formula>
    </cfRule>
    <cfRule type="cellIs" dxfId="25" priority="7" operator="equal">
      <formula>"Below"</formula>
    </cfRule>
  </conditionalFormatting>
  <conditionalFormatting sqref="AH9:AH225">
    <cfRule type="expression" dxfId="24" priority="1">
      <formula>AND(AG9="Exceeds",AJ9&lt;0.025)</formula>
    </cfRule>
    <cfRule type="expression" dxfId="23" priority="5">
      <formula>AND(AG9="Below",AJ9&gt;0)</formula>
    </cfRule>
    <cfRule type="expression" dxfId="22" priority="4">
      <formula>AND(AG9="Exceeds",AJ9&gt;0.06)</formula>
    </cfRule>
    <cfRule type="expression" dxfId="21" priority="3">
      <formula>AND(AG9="Meets",AJ9&gt;0.025)</formula>
    </cfRule>
    <cfRule type="expression" dxfId="20" priority="2">
      <formula>AND(AG9="Meets",AJ9&lt;0.01)</formula>
    </cfRule>
  </conditionalFormatting>
  <conditionalFormatting sqref="AI9:AI225">
    <cfRule type="expression" dxfId="19" priority="18">
      <formula>AND(AG9="Below",AJ9&gt;0)</formula>
    </cfRule>
    <cfRule type="expression" dxfId="18" priority="20">
      <formula>AND(AG9="Exceeds",AJ9&gt;0.06)</formula>
    </cfRule>
    <cfRule type="expression" dxfId="17" priority="22">
      <formula>AND(AG9="Meets",AJ9&gt;0.025)</formula>
    </cfRule>
    <cfRule type="expression" dxfId="16" priority="24">
      <formula>AND(AG9="Meets",AJ9&lt;0.01)</formula>
    </cfRule>
    <cfRule type="expression" dxfId="15" priority="26">
      <formula>AND(AG9="Exceeds",AJ9&lt;0.025)</formula>
    </cfRule>
  </conditionalFormatting>
  <conditionalFormatting sqref="AW9:AW225">
    <cfRule type="expression" dxfId="14" priority="16">
      <formula>AND(AH9&gt;0,AI9&gt;0)</formula>
    </cfRule>
  </conditionalFormatting>
  <conditionalFormatting sqref="BE9:BH225">
    <cfRule type="expression" dxfId="13" priority="12">
      <formula>$AY9="No"</formula>
    </cfRule>
  </conditionalFormatting>
  <conditionalFormatting sqref="BU9:BU225">
    <cfRule type="expression" dxfId="12" priority="11">
      <formula>AND(#REF!&lt;&gt;"Y")</formula>
    </cfRule>
  </conditionalFormatting>
  <conditionalFormatting sqref="BX9:BX225">
    <cfRule type="expression" dxfId="11" priority="10">
      <formula>$BV9=1</formula>
    </cfRule>
  </conditionalFormatting>
  <conditionalFormatting sqref="CC9:CC225">
    <cfRule type="expression" dxfId="10" priority="17">
      <formula>AND(CA9="Below",CD9&gt;0)</formula>
    </cfRule>
    <cfRule type="expression" dxfId="9" priority="19">
      <formula>AND(CA9="Exceeds",CD9&gt;0.06)</formula>
    </cfRule>
    <cfRule type="expression" dxfId="8" priority="21">
      <formula>AND(CA9="Meets",CD9&gt;0.025)</formula>
    </cfRule>
    <cfRule type="expression" dxfId="7" priority="23">
      <formula>AND(CA9="Meets",CD9&lt;0.01)</formula>
    </cfRule>
    <cfRule type="expression" dxfId="6" priority="25">
      <formula>AND(CA9="Exceeds",CD9&lt;0.025)</formula>
    </cfRule>
  </conditionalFormatting>
  <dataValidations count="15">
    <dataValidation type="list" allowBlank="1" showErrorMessage="1" errorTitle="Invalid Performance Rating" error="You can select a valid performance rating from the drop down list in the cell." sqref="AG9:AG225" xr:uid="{00000000-0002-0000-0000-000000000000}">
      <formula1>RatingsList</formula1>
    </dataValidation>
    <dataValidation type="list" allowBlank="1" showErrorMessage="1" sqref="AD9:AD225 BZ9:BZ225 BO9:BO225 BA9:BA225" xr:uid="{00000000-0002-0000-0000-000001000000}">
      <formula1>"Yes,No"</formula1>
    </dataValidation>
    <dataValidation type="list" allowBlank="1" showErrorMessage="1" sqref="CE9:CE225" xr:uid="{00000000-0002-0000-0000-000005000000}">
      <formula1>"Submitted"</formula1>
    </dataValidation>
    <dataValidation type="list" allowBlank="1" showErrorMessage="1" sqref="CF9:CI225" xr:uid="{00000000-0002-0000-0000-000006000000}">
      <formula1>"Approved"</formula1>
    </dataValidation>
    <dataValidation type="list" allowBlank="1" showErrorMessage="1" sqref="BB9:BB225" xr:uid="{00000000-0002-0000-0000-00000A000000}">
      <formula1>Department</formula1>
    </dataValidation>
    <dataValidation type="list" allowBlank="1" showErrorMessage="1" sqref="S9:S225" xr:uid="{00000000-0002-0000-0000-00000B000000}">
      <formula1>"AUD,EUR,GBP,USD"</formula1>
    </dataValidation>
    <dataValidation type="list" allowBlank="1" showErrorMessage="1" sqref="CW9:CW225" xr:uid="{00000000-0002-0000-0000-00000C000000}">
      <formula1>"Statement,Statement Letter"</formula1>
    </dataValidation>
    <dataValidation type="list" allowBlank="1" showErrorMessage="1" sqref="J9:J225" xr:uid="{00000000-0002-0000-0000-00000D000000}">
      <formula1>RegionList</formula1>
    </dataValidation>
    <dataValidation type="custom" allowBlank="1" showErrorMessage="1" errorTitle="Invalid % Increase" error="Please check the guidelines and make sure to only enter % increase OR $ increase - NOT both._x000a__x000a_Guidelines:_x000a_Below: 0%_x000a_Meets: 1.0% - 2.5%_x000a_Exceeds: 2.5% - 6.0%_x000a_" sqref="AH9:AH225" xr:uid="{00000000-0002-0000-0000-00000E000000}">
      <formula1>AND(AW9=0)</formula1>
    </dataValidation>
    <dataValidation type="custom" allowBlank="1" showErrorMessage="1" errorTitle="Invalid $ Increase" error="Please check the guidelines and make sure to only enter % increase OR $ increase - NOT both._x000a__x000a_Guidelines:_x000a_Below: 0%_x000a_Meets: 1.0% - 2.5%_x000a_Exceeds: 2.5% - 6.0%" sqref="AI9:AI225" xr:uid="{00000000-0002-0000-0000-00000F000000}">
      <formula1>AND(AW9=0)</formula1>
    </dataValidation>
    <dataValidation type="list" allowBlank="1" showErrorMessage="1" sqref="K9:K225" xr:uid="{00000000-0002-0000-0000-000010000000}">
      <formula1>LocationList</formula1>
    </dataValidation>
    <dataValidation type="list" allowBlank="1" showErrorMessage="1" sqref="M9:M225" xr:uid="{00000000-0002-0000-0000-000011000000}">
      <formula1>ManagerList</formula1>
    </dataValidation>
    <dataValidation type="list" allowBlank="1" showErrorMessage="1" sqref="N9:N225" xr:uid="{00000000-0002-0000-0000-000012000000}">
      <formula1>StatusList</formula1>
    </dataValidation>
    <dataValidation type="custom" allowBlank="1" showErrorMessage="1" errorTitle="Comment Required" error="Individual performance multiplier % over 100% requires a comment. Enter a comment, then enter the individual performance multiplier." sqref="BU9:BU225" xr:uid="{00000000-0002-0000-0000-000013000000}">
      <formula1>AND(BY9=0)</formula1>
    </dataValidation>
    <dataValidation type="list" allowBlank="1" showErrorMessage="1" sqref="BC9:BC225" xr:uid="{00000000-0002-0000-0000-000014000000}">
      <formula1>OFFSET(ssDepList,MATCH(BB9,OFFSET(OFFSET(ssDepList,0,0,1,1),0,0,ROWS(ssDepList),1),0)-1,1,COUNTIF(ssDepList,BB9),1)</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108"/>
  <sheetViews>
    <sheetView workbookViewId="0"/>
  </sheetViews>
  <sheetFormatPr baseColWidth="10" defaultRowHeight="14"/>
  <cols>
    <col min="1" max="1" width="34.1640625" customWidth="1"/>
    <col min="2" max="2" width="9" customWidth="1"/>
    <col min="3" max="3" width="6.33203125" customWidth="1"/>
    <col min="4" max="4" width="11.5" customWidth="1"/>
    <col min="5" max="5" width="13.33203125" customWidth="1"/>
    <col min="6" max="6" width="16.5" customWidth="1"/>
    <col min="7" max="7" width="16.1640625" customWidth="1"/>
    <col min="8" max="8" width="13.1640625" customWidth="1"/>
    <col min="9" max="9" width="14.5" customWidth="1"/>
    <col min="10" max="10" width="15.83203125" customWidth="1"/>
    <col min="11" max="11" width="15.6640625" customWidth="1"/>
    <col min="12" max="12" width="20.83203125" customWidth="1"/>
    <col min="13" max="13" width="17.1640625" customWidth="1"/>
    <col min="14" max="14" width="12.5" customWidth="1"/>
    <col min="15" max="15" width="13.33203125" customWidth="1"/>
    <col min="16" max="16" width="12.5" customWidth="1"/>
    <col min="17" max="17" width="14.6640625" customWidth="1"/>
    <col min="18" max="18" width="12.6640625" customWidth="1"/>
    <col min="19" max="20" width="20.6640625" customWidth="1"/>
    <col min="21" max="22" width="14.6640625" customWidth="1"/>
    <col min="23" max="23" width="19.33203125" customWidth="1"/>
    <col min="24" max="24" width="14.6640625" customWidth="1"/>
    <col min="25" max="26" width="15.33203125" customWidth="1"/>
    <col min="27" max="27" width="12.6640625" customWidth="1"/>
    <col min="28" max="29" width="13.5" customWidth="1"/>
    <col min="30" max="31" width="15.33203125" customWidth="1"/>
    <col min="32" max="32" width="15.1640625" customWidth="1"/>
    <col min="33" max="33" width="15.83203125" customWidth="1"/>
    <col min="34" max="34" width="15.1640625" customWidth="1"/>
    <col min="35" max="35" width="15.83203125" customWidth="1"/>
    <col min="36" max="39" width="17.33203125" customWidth="1"/>
    <col min="40" max="47" width="9" customWidth="1"/>
    <col min="48" max="52" width="21.6640625" customWidth="1"/>
    <col min="53" max="58" width="9" customWidth="1"/>
  </cols>
  <sheetData>
    <row r="1" spans="1:58" ht="28">
      <c r="A1" s="57" t="s">
        <v>861</v>
      </c>
      <c r="B1" s="58" t="s">
        <v>862</v>
      </c>
      <c r="C1" s="59" t="s">
        <v>863</v>
      </c>
      <c r="D1" s="59" t="s">
        <v>864</v>
      </c>
      <c r="E1" s="59" t="s">
        <v>865</v>
      </c>
      <c r="F1" s="59" t="s">
        <v>866</v>
      </c>
      <c r="G1" s="60" t="s">
        <v>867</v>
      </c>
      <c r="H1" s="60" t="s">
        <v>868</v>
      </c>
      <c r="I1" s="60" t="s">
        <v>869</v>
      </c>
      <c r="J1" s="60" t="s">
        <v>870</v>
      </c>
      <c r="K1" s="60" t="s">
        <v>871</v>
      </c>
      <c r="L1" s="60" t="s">
        <v>872</v>
      </c>
      <c r="M1" s="60" t="s">
        <v>873</v>
      </c>
      <c r="N1" s="61" t="s">
        <v>874</v>
      </c>
      <c r="O1" s="62" t="s">
        <v>875</v>
      </c>
      <c r="P1" s="62" t="s">
        <v>876</v>
      </c>
      <c r="Q1" s="62" t="s">
        <v>877</v>
      </c>
      <c r="R1" s="62" t="s">
        <v>878</v>
      </c>
      <c r="S1" s="62" t="s">
        <v>879</v>
      </c>
      <c r="T1" s="62" t="s">
        <v>880</v>
      </c>
      <c r="U1" s="62" t="s">
        <v>881</v>
      </c>
      <c r="V1" s="62" t="s">
        <v>882</v>
      </c>
      <c r="W1" s="63" t="s">
        <v>883</v>
      </c>
      <c r="X1" s="62" t="s">
        <v>884</v>
      </c>
      <c r="Y1" s="62" t="s">
        <v>885</v>
      </c>
      <c r="Z1" s="62" t="s">
        <v>886</v>
      </c>
      <c r="AA1" s="62" t="s">
        <v>887</v>
      </c>
      <c r="AB1" s="62" t="s">
        <v>888</v>
      </c>
      <c r="AC1" s="62" t="s">
        <v>889</v>
      </c>
      <c r="AD1" s="62" t="s">
        <v>890</v>
      </c>
      <c r="AE1" s="62" t="s">
        <v>891</v>
      </c>
      <c r="AF1" s="62" t="s">
        <v>892</v>
      </c>
      <c r="AG1" s="62" t="s">
        <v>893</v>
      </c>
      <c r="AH1" s="62" t="s">
        <v>894</v>
      </c>
      <c r="AI1" s="62" t="s">
        <v>895</v>
      </c>
      <c r="AJ1" s="62" t="s">
        <v>896</v>
      </c>
      <c r="AK1" s="62" t="s">
        <v>897</v>
      </c>
      <c r="AL1" s="62" t="s">
        <v>898</v>
      </c>
      <c r="AM1" s="63" t="s">
        <v>899</v>
      </c>
      <c r="AN1" s="11"/>
      <c r="AO1" s="11"/>
      <c r="AP1" s="11"/>
      <c r="AQ1" s="11"/>
      <c r="AR1" s="11"/>
      <c r="AS1" s="11"/>
      <c r="AT1" s="11"/>
      <c r="AU1" s="11"/>
      <c r="AV1" s="11"/>
      <c r="AW1" s="2"/>
      <c r="AX1" s="2"/>
      <c r="AY1" s="37"/>
      <c r="AZ1" s="2"/>
      <c r="BA1" s="1"/>
      <c r="BB1" s="98"/>
      <c r="BC1" s="1"/>
      <c r="BD1" s="1"/>
      <c r="BE1" s="98"/>
      <c r="BF1" s="1"/>
    </row>
    <row r="2" spans="1:58">
      <c r="A2" s="11" t="s">
        <v>900</v>
      </c>
      <c r="B2" s="11" t="s">
        <v>901</v>
      </c>
      <c r="C2" s="11"/>
      <c r="D2" s="11"/>
      <c r="E2" s="11"/>
      <c r="F2" s="11"/>
      <c r="G2" s="11" t="s">
        <v>902</v>
      </c>
      <c r="H2" s="11" t="s">
        <v>159</v>
      </c>
      <c r="I2" s="11"/>
      <c r="J2" s="11"/>
      <c r="K2" s="11" t="s">
        <v>903</v>
      </c>
      <c r="L2" s="11" t="s">
        <v>904</v>
      </c>
      <c r="M2" s="11"/>
      <c r="N2" s="21" t="s">
        <v>905</v>
      </c>
      <c r="O2" s="2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99"/>
      <c r="AX2" s="11"/>
      <c r="AY2" s="37"/>
      <c r="AZ2" s="2"/>
      <c r="BA2" s="1"/>
      <c r="BB2" s="98"/>
      <c r="BC2" s="1"/>
      <c r="BD2" s="1"/>
      <c r="BE2" s="98"/>
      <c r="BF2" s="1"/>
    </row>
    <row r="3" spans="1:58">
      <c r="A3" s="11" t="s">
        <v>900</v>
      </c>
      <c r="B3" s="11" t="s">
        <v>901</v>
      </c>
      <c r="C3" s="11">
        <v>1</v>
      </c>
      <c r="D3" s="11"/>
      <c r="E3" s="11"/>
      <c r="F3" s="11" t="s">
        <v>906</v>
      </c>
      <c r="G3" s="11"/>
      <c r="H3" s="11"/>
      <c r="I3" s="11"/>
      <c r="J3" s="11"/>
      <c r="K3" s="11"/>
      <c r="L3" s="11"/>
      <c r="M3" s="11"/>
      <c r="N3" s="21"/>
      <c r="O3" s="2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99"/>
      <c r="AX3" s="11"/>
      <c r="AY3" s="37"/>
      <c r="AZ3" s="2"/>
      <c r="BA3" s="1"/>
      <c r="BB3" s="98"/>
      <c r="BC3" s="1"/>
      <c r="BD3" s="1"/>
      <c r="BE3" s="98"/>
      <c r="BF3" s="1"/>
    </row>
    <row r="4" spans="1:58">
      <c r="A4" s="11" t="s">
        <v>907</v>
      </c>
      <c r="B4" s="11"/>
      <c r="C4" s="11"/>
      <c r="D4" s="11"/>
      <c r="E4" s="11"/>
      <c r="F4" s="11"/>
      <c r="G4" s="11"/>
      <c r="H4" s="11"/>
      <c r="I4" s="11"/>
      <c r="J4" s="11"/>
      <c r="K4" s="11"/>
      <c r="L4" s="11"/>
      <c r="M4" s="11"/>
      <c r="N4" s="21" t="s">
        <v>905</v>
      </c>
      <c r="O4" s="2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99"/>
      <c r="AX4" s="11"/>
      <c r="AY4" s="37"/>
      <c r="AZ4" s="2"/>
      <c r="BA4" s="1"/>
      <c r="BB4" s="98"/>
      <c r="BC4" s="1"/>
      <c r="BD4" s="1"/>
      <c r="BE4" s="98"/>
      <c r="BF4" s="1"/>
    </row>
    <row r="5" spans="1:58">
      <c r="A5" s="11" t="s">
        <v>907</v>
      </c>
      <c r="B5" s="11" t="s">
        <v>908</v>
      </c>
      <c r="C5" s="11">
        <v>4</v>
      </c>
      <c r="D5" s="11" t="s">
        <v>909</v>
      </c>
      <c r="E5" s="11" t="s">
        <v>910</v>
      </c>
      <c r="F5" s="11"/>
      <c r="G5" s="11"/>
      <c r="H5" s="11"/>
      <c r="I5" s="11"/>
      <c r="J5" s="11"/>
      <c r="K5" s="11"/>
      <c r="L5" s="11"/>
      <c r="M5" s="11"/>
      <c r="N5" s="21"/>
      <c r="O5" s="2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99"/>
      <c r="AX5" s="11"/>
      <c r="AY5" s="37"/>
      <c r="AZ5" s="2"/>
      <c r="BA5" s="1"/>
      <c r="BB5" s="98"/>
      <c r="BC5" s="1"/>
      <c r="BD5" s="1"/>
      <c r="BE5" s="98"/>
      <c r="BF5" s="1"/>
    </row>
    <row r="6" spans="1:58">
      <c r="A6" s="11" t="s">
        <v>907</v>
      </c>
      <c r="B6" s="11" t="s">
        <v>908</v>
      </c>
      <c r="C6" s="11"/>
      <c r="D6" s="11"/>
      <c r="E6" s="11"/>
      <c r="F6" s="11"/>
      <c r="G6" s="11"/>
      <c r="H6" s="11"/>
      <c r="I6" s="11" t="s">
        <v>911</v>
      </c>
      <c r="J6" s="11"/>
      <c r="K6" s="11"/>
      <c r="L6" s="11"/>
      <c r="M6" s="11"/>
      <c r="N6" s="21" t="s">
        <v>905</v>
      </c>
      <c r="O6" s="21" t="s">
        <v>912</v>
      </c>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99"/>
      <c r="AX6" s="11"/>
      <c r="AY6" s="37"/>
      <c r="AZ6" s="2"/>
      <c r="BA6" s="1"/>
      <c r="BB6" s="98"/>
      <c r="BC6" s="1"/>
      <c r="BD6" s="1"/>
      <c r="BE6" s="98"/>
      <c r="BF6" s="1"/>
    </row>
    <row r="7" spans="1:58">
      <c r="A7" s="11" t="s">
        <v>907</v>
      </c>
      <c r="B7" s="11" t="s">
        <v>913</v>
      </c>
      <c r="C7" s="11"/>
      <c r="D7" s="11"/>
      <c r="E7" s="11"/>
      <c r="F7" s="11"/>
      <c r="G7" s="11"/>
      <c r="H7" s="11"/>
      <c r="I7" s="11" t="s">
        <v>911</v>
      </c>
      <c r="J7" s="11"/>
      <c r="K7" s="11"/>
      <c r="L7" s="11"/>
      <c r="M7" s="11"/>
      <c r="N7" s="21" t="s">
        <v>905</v>
      </c>
      <c r="O7" s="21" t="s">
        <v>912</v>
      </c>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99"/>
      <c r="AX7" s="11"/>
      <c r="AY7" s="37"/>
      <c r="AZ7" s="2"/>
      <c r="BA7" s="1"/>
      <c r="BB7" s="98"/>
      <c r="BC7" s="1"/>
      <c r="BD7" s="1"/>
      <c r="BE7" s="98"/>
      <c r="BF7" s="1"/>
    </row>
    <row r="8" spans="1:58">
      <c r="A8" s="11" t="s">
        <v>907</v>
      </c>
      <c r="B8" s="11" t="s">
        <v>913</v>
      </c>
      <c r="C8" s="11">
        <v>4</v>
      </c>
      <c r="D8" s="11" t="s">
        <v>909</v>
      </c>
      <c r="E8" s="11" t="s">
        <v>910</v>
      </c>
      <c r="F8" s="11"/>
      <c r="G8" s="11"/>
      <c r="H8" s="11"/>
      <c r="I8" s="11"/>
      <c r="J8" s="11"/>
      <c r="K8" s="11"/>
      <c r="L8" s="11"/>
      <c r="M8" s="11"/>
      <c r="N8" s="21"/>
      <c r="O8" s="2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99"/>
      <c r="AX8" s="11"/>
      <c r="AY8" s="37"/>
      <c r="AZ8" s="2"/>
      <c r="BA8" s="1"/>
      <c r="BB8" s="98"/>
      <c r="BC8" s="1"/>
      <c r="BD8" s="1"/>
      <c r="BE8" s="98"/>
      <c r="BF8" s="1"/>
    </row>
    <row r="9" spans="1:58">
      <c r="A9" s="11" t="s">
        <v>914</v>
      </c>
      <c r="B9" s="11" t="s">
        <v>915</v>
      </c>
      <c r="C9" s="11"/>
      <c r="D9" s="11"/>
      <c r="E9" s="11"/>
      <c r="F9" s="11"/>
      <c r="G9" s="11" t="s">
        <v>902</v>
      </c>
      <c r="H9" s="11" t="s">
        <v>159</v>
      </c>
      <c r="I9" s="11"/>
      <c r="J9" s="11"/>
      <c r="K9" s="11" t="s">
        <v>903</v>
      </c>
      <c r="L9" s="11" t="s">
        <v>904</v>
      </c>
      <c r="M9" s="11"/>
      <c r="N9" s="21" t="s">
        <v>905</v>
      </c>
      <c r="O9" s="2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37"/>
      <c r="AZ9" s="2"/>
      <c r="BA9" s="1"/>
      <c r="BB9" s="98"/>
      <c r="BC9" s="1"/>
      <c r="BD9" s="1"/>
      <c r="BE9" s="98"/>
      <c r="BF9" s="1"/>
    </row>
    <row r="10" spans="1:58">
      <c r="A10" s="11" t="s">
        <v>914</v>
      </c>
      <c r="B10" s="11" t="s">
        <v>915</v>
      </c>
      <c r="C10" s="11">
        <v>1</v>
      </c>
      <c r="D10" s="11"/>
      <c r="E10" s="11"/>
      <c r="F10" s="11" t="s">
        <v>906</v>
      </c>
      <c r="G10" s="11"/>
      <c r="H10" s="11"/>
      <c r="I10" s="11"/>
      <c r="J10" s="11"/>
      <c r="K10" s="11"/>
      <c r="L10" s="11"/>
      <c r="M10" s="11"/>
      <c r="N10" s="21"/>
      <c r="O10" s="2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37"/>
      <c r="AZ10" s="2"/>
      <c r="BA10" s="1"/>
      <c r="BB10" s="98"/>
      <c r="BC10" s="1"/>
      <c r="BD10" s="1"/>
      <c r="BE10" s="98"/>
      <c r="BF10" s="1"/>
    </row>
    <row r="11" spans="1:58">
      <c r="A11" s="11" t="s">
        <v>148</v>
      </c>
      <c r="B11" s="11" t="s">
        <v>901</v>
      </c>
      <c r="C11" s="11"/>
      <c r="D11" s="11"/>
      <c r="E11" s="11"/>
      <c r="F11" s="11"/>
      <c r="G11" s="11"/>
      <c r="H11" s="11"/>
      <c r="I11" s="11" t="s">
        <v>916</v>
      </c>
      <c r="J11" s="11"/>
      <c r="K11" s="11"/>
      <c r="L11" s="11"/>
      <c r="M11" s="11"/>
      <c r="N11" s="21" t="s">
        <v>912</v>
      </c>
      <c r="O11" s="21"/>
      <c r="P11" s="11"/>
      <c r="Q11" s="11"/>
      <c r="R11" s="11"/>
      <c r="S11" s="11"/>
      <c r="T11" s="11"/>
      <c r="U11" s="11"/>
      <c r="V11" s="11"/>
      <c r="W11" s="11" t="s">
        <v>157</v>
      </c>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37"/>
      <c r="AZ11" s="2"/>
      <c r="BA11" s="1"/>
      <c r="BB11" s="98"/>
      <c r="BC11" s="1"/>
      <c r="BD11" s="1"/>
      <c r="BE11" s="98"/>
      <c r="BF11" s="1"/>
    </row>
    <row r="12" spans="1:58">
      <c r="A12" s="11" t="s">
        <v>148</v>
      </c>
      <c r="B12" s="11" t="s">
        <v>901</v>
      </c>
      <c r="C12" s="11">
        <v>1</v>
      </c>
      <c r="D12" s="11"/>
      <c r="E12" s="11"/>
      <c r="F12" s="11"/>
      <c r="G12" s="11"/>
      <c r="H12" s="11"/>
      <c r="I12" s="11"/>
      <c r="J12" s="11"/>
      <c r="K12" s="11"/>
      <c r="L12" s="11"/>
      <c r="M12" s="11"/>
      <c r="N12" s="21"/>
      <c r="O12" s="21"/>
      <c r="P12" s="11"/>
      <c r="Q12" s="11"/>
      <c r="R12" s="11"/>
      <c r="S12" s="11"/>
      <c r="T12" s="11"/>
      <c r="U12" s="11"/>
      <c r="V12" s="11"/>
      <c r="W12" s="11"/>
      <c r="X12" s="11"/>
      <c r="Y12" s="11"/>
      <c r="Z12" s="11"/>
      <c r="AA12" s="11"/>
      <c r="AB12" s="11"/>
      <c r="AC12" s="11"/>
      <c r="AD12" s="11"/>
      <c r="AE12" s="11"/>
      <c r="AF12" s="11"/>
      <c r="AG12" s="11"/>
      <c r="AH12" s="11"/>
      <c r="AI12" s="11"/>
      <c r="AJ12" s="11"/>
      <c r="AK12" s="11"/>
      <c r="AL12" s="11"/>
      <c r="AM12" s="11" t="s">
        <v>917</v>
      </c>
      <c r="AN12" s="11"/>
      <c r="AO12" s="11"/>
      <c r="AP12" s="11"/>
      <c r="AQ12" s="11"/>
      <c r="AR12" s="11"/>
      <c r="AS12" s="11"/>
      <c r="AT12" s="11"/>
      <c r="AU12" s="11"/>
      <c r="AV12" s="11"/>
      <c r="AW12" s="11"/>
      <c r="AX12" s="11"/>
      <c r="AY12" s="37"/>
      <c r="AZ12" s="2"/>
      <c r="BA12" s="1"/>
      <c r="BB12" s="98"/>
      <c r="BC12" s="1"/>
      <c r="BD12" s="1"/>
      <c r="BE12" s="98"/>
      <c r="BF12" s="1"/>
    </row>
    <row r="13" spans="1:58">
      <c r="A13" s="11"/>
      <c r="B13" s="11"/>
      <c r="C13" s="11"/>
      <c r="D13" s="11"/>
      <c r="E13" s="11"/>
      <c r="F13" s="11"/>
      <c r="G13" s="11"/>
      <c r="H13" s="11"/>
      <c r="I13" s="11"/>
      <c r="J13" s="11"/>
      <c r="K13" s="11"/>
      <c r="L13" s="11"/>
      <c r="M13" s="11"/>
      <c r="N13" s="21"/>
      <c r="O13" s="2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37"/>
      <c r="AZ13" s="2"/>
      <c r="BA13" s="1"/>
      <c r="BB13" s="98"/>
      <c r="BC13" s="1"/>
      <c r="BD13" s="1"/>
      <c r="BE13" s="98"/>
      <c r="BF13" s="1"/>
    </row>
    <row r="14" spans="1:58">
      <c r="A14" s="11"/>
      <c r="B14" s="11"/>
      <c r="C14" s="11"/>
      <c r="D14" s="11"/>
      <c r="E14" s="11"/>
      <c r="F14" s="11"/>
      <c r="G14" s="11"/>
      <c r="H14" s="11"/>
      <c r="I14" s="11"/>
      <c r="J14" s="11"/>
      <c r="K14" s="11"/>
      <c r="L14" s="11"/>
      <c r="M14" s="11"/>
      <c r="N14" s="21"/>
      <c r="O14" s="2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37"/>
      <c r="AZ14" s="2"/>
      <c r="BA14" s="1"/>
      <c r="BB14" s="98"/>
      <c r="BC14" s="1"/>
      <c r="BD14" s="1"/>
      <c r="BE14" s="98"/>
      <c r="BF14" s="1"/>
    </row>
    <row r="15" spans="1:58">
      <c r="A15" s="11"/>
      <c r="B15" s="11"/>
      <c r="C15" s="11"/>
      <c r="D15" s="11"/>
      <c r="E15" s="11"/>
      <c r="F15" s="11"/>
      <c r="G15" s="11"/>
      <c r="H15" s="11"/>
      <c r="I15" s="11"/>
      <c r="J15" s="11"/>
      <c r="K15" s="11"/>
      <c r="L15" s="11"/>
      <c r="M15" s="11"/>
      <c r="N15" s="21"/>
      <c r="O15" s="2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37"/>
      <c r="AZ15" s="2"/>
      <c r="BA15" s="1"/>
      <c r="BB15" s="98"/>
      <c r="BC15" s="1"/>
      <c r="BD15" s="1"/>
      <c r="BE15" s="98"/>
      <c r="BF15" s="1"/>
    </row>
    <row r="16" spans="1:58">
      <c r="A16" s="11"/>
      <c r="B16" s="11"/>
      <c r="C16" s="11"/>
      <c r="D16" s="11"/>
      <c r="E16" s="11"/>
      <c r="F16" s="11"/>
      <c r="G16" s="11"/>
      <c r="H16" s="11"/>
      <c r="I16" s="11"/>
      <c r="J16" s="11"/>
      <c r="K16" s="11"/>
      <c r="L16" s="11"/>
      <c r="M16" s="11"/>
      <c r="N16" s="21"/>
      <c r="O16" s="2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37"/>
      <c r="AZ16" s="2"/>
      <c r="BA16" s="1"/>
      <c r="BB16" s="98"/>
      <c r="BC16" s="1"/>
      <c r="BD16" s="1"/>
      <c r="BE16" s="98"/>
      <c r="BF16" s="1"/>
    </row>
    <row r="17" spans="1:58">
      <c r="A17" s="11"/>
      <c r="B17" s="11"/>
      <c r="C17" s="11"/>
      <c r="D17" s="11"/>
      <c r="E17" s="11"/>
      <c r="F17" s="11"/>
      <c r="G17" s="11"/>
      <c r="H17" s="11"/>
      <c r="I17" s="11"/>
      <c r="J17" s="11"/>
      <c r="K17" s="11"/>
      <c r="L17" s="11"/>
      <c r="M17" s="11"/>
      <c r="N17" s="21"/>
      <c r="O17" s="2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37"/>
      <c r="AZ17" s="2"/>
      <c r="BA17" s="1"/>
      <c r="BB17" s="98"/>
      <c r="BC17" s="1"/>
      <c r="BD17" s="1"/>
      <c r="BE17" s="98"/>
      <c r="BF17" s="1"/>
    </row>
    <row r="18" spans="1:58">
      <c r="A18" s="11"/>
      <c r="B18" s="11"/>
      <c r="C18" s="11"/>
      <c r="D18" s="11"/>
      <c r="E18" s="11"/>
      <c r="F18" s="11"/>
      <c r="G18" s="11"/>
      <c r="H18" s="11"/>
      <c r="I18" s="11"/>
      <c r="J18" s="11"/>
      <c r="K18" s="11"/>
      <c r="L18" s="11"/>
      <c r="M18" s="11"/>
      <c r="N18" s="21"/>
      <c r="O18" s="2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37"/>
      <c r="AZ18" s="2"/>
      <c r="BA18" s="1"/>
      <c r="BB18" s="98"/>
      <c r="BC18" s="1"/>
      <c r="BD18" s="1"/>
      <c r="BE18" s="98"/>
      <c r="BF18" s="1"/>
    </row>
    <row r="19" spans="1:58">
      <c r="A19" s="11"/>
      <c r="B19" s="11"/>
      <c r="C19" s="11"/>
      <c r="D19" s="11"/>
      <c r="E19" s="11"/>
      <c r="F19" s="11"/>
      <c r="G19" s="11"/>
      <c r="H19" s="11"/>
      <c r="I19" s="11"/>
      <c r="J19" s="11"/>
      <c r="K19" s="11"/>
      <c r="L19" s="11"/>
      <c r="M19" s="11"/>
      <c r="N19" s="21"/>
      <c r="O19" s="2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37"/>
      <c r="AZ19" s="2"/>
      <c r="BA19" s="1"/>
      <c r="BB19" s="98"/>
      <c r="BC19" s="1"/>
      <c r="BD19" s="1"/>
      <c r="BE19" s="98"/>
      <c r="BF19" s="1"/>
    </row>
    <row r="20" spans="1:58">
      <c r="A20" s="11"/>
      <c r="B20" s="11"/>
      <c r="C20" s="11"/>
      <c r="D20" s="11"/>
      <c r="E20" s="11"/>
      <c r="F20" s="11"/>
      <c r="G20" s="11"/>
      <c r="H20" s="11"/>
      <c r="I20" s="11"/>
      <c r="J20" s="11"/>
      <c r="K20" s="11"/>
      <c r="L20" s="11"/>
      <c r="M20" s="11"/>
      <c r="N20" s="21"/>
      <c r="O20" s="2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37"/>
      <c r="AZ20" s="2"/>
      <c r="BA20" s="1"/>
      <c r="BB20" s="98"/>
      <c r="BC20" s="1"/>
      <c r="BD20" s="1"/>
      <c r="BE20" s="98"/>
      <c r="BF20" s="1"/>
    </row>
    <row r="21" spans="1:58">
      <c r="A21" s="11"/>
      <c r="B21" s="11"/>
      <c r="C21" s="11"/>
      <c r="D21" s="11"/>
      <c r="E21" s="11"/>
      <c r="F21" s="11"/>
      <c r="G21" s="11"/>
      <c r="H21" s="11"/>
      <c r="I21" s="11"/>
      <c r="J21" s="11"/>
      <c r="K21" s="11"/>
      <c r="L21" s="11"/>
      <c r="M21" s="11"/>
      <c r="N21" s="21"/>
      <c r="O21" s="2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37"/>
      <c r="AZ21" s="2"/>
      <c r="BA21" s="1"/>
      <c r="BB21" s="98"/>
      <c r="BC21" s="1"/>
      <c r="BD21" s="1"/>
      <c r="BE21" s="98"/>
      <c r="BF21" s="1"/>
    </row>
    <row r="22" spans="1:58">
      <c r="A22" s="11"/>
      <c r="B22" s="11"/>
      <c r="C22" s="11"/>
      <c r="D22" s="11"/>
      <c r="E22" s="11"/>
      <c r="F22" s="11"/>
      <c r="G22" s="11"/>
      <c r="H22" s="11"/>
      <c r="I22" s="11"/>
      <c r="J22" s="11"/>
      <c r="K22" s="11"/>
      <c r="L22" s="11"/>
      <c r="M22" s="11"/>
      <c r="N22" s="21"/>
      <c r="O22" s="2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37"/>
      <c r="AZ22" s="2"/>
      <c r="BA22" s="1"/>
      <c r="BB22" s="98"/>
      <c r="BC22" s="1"/>
      <c r="BD22" s="1"/>
      <c r="BE22" s="98"/>
      <c r="BF22" s="1"/>
    </row>
    <row r="23" spans="1:58">
      <c r="A23" s="11"/>
      <c r="B23" s="11"/>
      <c r="C23" s="11"/>
      <c r="D23" s="11"/>
      <c r="E23" s="11"/>
      <c r="F23" s="11"/>
      <c r="G23" s="11"/>
      <c r="H23" s="11"/>
      <c r="I23" s="11"/>
      <c r="J23" s="11"/>
      <c r="K23" s="11"/>
      <c r="L23" s="11"/>
      <c r="M23" s="11"/>
      <c r="N23" s="21"/>
      <c r="O23" s="2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37"/>
      <c r="AZ23" s="2"/>
      <c r="BA23" s="1"/>
      <c r="BB23" s="98"/>
      <c r="BC23" s="1"/>
      <c r="BD23" s="1"/>
      <c r="BE23" s="98"/>
      <c r="BF23" s="1"/>
    </row>
    <row r="24" spans="1:58">
      <c r="A24" s="11"/>
      <c r="B24" s="11"/>
      <c r="C24" s="11"/>
      <c r="D24" s="11"/>
      <c r="E24" s="11"/>
      <c r="F24" s="11"/>
      <c r="G24" s="11"/>
      <c r="H24" s="11"/>
      <c r="I24" s="11"/>
      <c r="J24" s="11"/>
      <c r="K24" s="11"/>
      <c r="L24" s="11"/>
      <c r="M24" s="11"/>
      <c r="N24" s="21"/>
      <c r="O24" s="2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37"/>
      <c r="AZ24" s="2"/>
      <c r="BA24" s="1"/>
      <c r="BB24" s="98"/>
      <c r="BC24" s="1"/>
      <c r="BD24" s="1"/>
      <c r="BE24" s="98"/>
      <c r="BF24" s="1"/>
    </row>
    <row r="25" spans="1:58">
      <c r="A25" s="11"/>
      <c r="B25" s="11"/>
      <c r="C25" s="11"/>
      <c r="D25" s="11"/>
      <c r="E25" s="11"/>
      <c r="F25" s="11"/>
      <c r="G25" s="11"/>
      <c r="H25" s="11"/>
      <c r="I25" s="11"/>
      <c r="J25" s="11"/>
      <c r="K25" s="11"/>
      <c r="L25" s="11"/>
      <c r="M25" s="11"/>
      <c r="N25" s="21"/>
      <c r="O25" s="2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37"/>
      <c r="AZ25" s="2"/>
      <c r="BA25" s="1"/>
      <c r="BB25" s="98"/>
      <c r="BC25" s="1"/>
      <c r="BD25" s="1"/>
      <c r="BE25" s="98"/>
      <c r="BF25" s="1"/>
    </row>
    <row r="26" spans="1:58">
      <c r="A26" s="11"/>
      <c r="B26" s="11"/>
      <c r="C26" s="11"/>
      <c r="D26" s="11"/>
      <c r="E26" s="11"/>
      <c r="F26" s="11"/>
      <c r="G26" s="11"/>
      <c r="H26" s="11"/>
      <c r="I26" s="11"/>
      <c r="J26" s="11"/>
      <c r="K26" s="11"/>
      <c r="L26" s="11"/>
      <c r="M26" s="11"/>
      <c r="N26" s="21"/>
      <c r="O26" s="2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37"/>
      <c r="AZ26" s="2"/>
      <c r="BA26" s="1"/>
      <c r="BB26" s="98"/>
      <c r="BC26" s="1"/>
      <c r="BD26" s="1"/>
      <c r="BE26" s="98"/>
      <c r="BF26" s="1"/>
    </row>
    <row r="27" spans="1:58">
      <c r="A27" s="11"/>
      <c r="B27" s="11"/>
      <c r="C27" s="11"/>
      <c r="D27" s="11"/>
      <c r="E27" s="11"/>
      <c r="F27" s="11"/>
      <c r="G27" s="11"/>
      <c r="H27" s="11"/>
      <c r="I27" s="11"/>
      <c r="J27" s="11"/>
      <c r="K27" s="11"/>
      <c r="L27" s="11"/>
      <c r="M27" s="11"/>
      <c r="N27" s="21"/>
      <c r="O27" s="2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37"/>
      <c r="AZ27" s="2"/>
      <c r="BA27" s="1"/>
      <c r="BB27" s="98"/>
      <c r="BC27" s="1"/>
      <c r="BD27" s="1"/>
      <c r="BE27" s="98"/>
      <c r="BF27" s="1"/>
    </row>
    <row r="28" spans="1:58">
      <c r="A28" s="11"/>
      <c r="B28" s="11"/>
      <c r="C28" s="11"/>
      <c r="D28" s="11"/>
      <c r="E28" s="11"/>
      <c r="F28" s="11"/>
      <c r="G28" s="11"/>
      <c r="H28" s="11"/>
      <c r="I28" s="11"/>
      <c r="J28" s="11"/>
      <c r="K28" s="11"/>
      <c r="L28" s="11"/>
      <c r="M28" s="11"/>
      <c r="N28" s="21"/>
      <c r="O28" s="2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37"/>
      <c r="AZ28" s="2"/>
      <c r="BA28" s="1"/>
      <c r="BB28" s="98"/>
      <c r="BC28" s="1"/>
      <c r="BD28" s="1"/>
      <c r="BE28" s="98"/>
      <c r="BF28" s="1"/>
    </row>
    <row r="29" spans="1:58">
      <c r="A29" s="11"/>
      <c r="B29" s="11"/>
      <c r="C29" s="11"/>
      <c r="D29" s="11"/>
      <c r="E29" s="11"/>
      <c r="F29" s="11"/>
      <c r="G29" s="11"/>
      <c r="H29" s="11"/>
      <c r="I29" s="11"/>
      <c r="J29" s="11"/>
      <c r="K29" s="11"/>
      <c r="L29" s="11"/>
      <c r="M29" s="11"/>
      <c r="N29" s="21"/>
      <c r="O29" s="2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37"/>
      <c r="AZ29" s="2"/>
      <c r="BA29" s="1"/>
      <c r="BB29" s="98"/>
      <c r="BC29" s="1"/>
      <c r="BD29" s="1"/>
      <c r="BE29" s="98"/>
      <c r="BF29" s="1"/>
    </row>
    <row r="30" spans="1:58">
      <c r="A30" s="11"/>
      <c r="B30" s="11"/>
      <c r="C30" s="11"/>
      <c r="D30" s="11"/>
      <c r="E30" s="11"/>
      <c r="F30" s="11"/>
      <c r="G30" s="11"/>
      <c r="H30" s="11"/>
      <c r="I30" s="11"/>
      <c r="J30" s="11"/>
      <c r="K30" s="11"/>
      <c r="L30" s="11"/>
      <c r="M30" s="11"/>
      <c r="N30" s="21"/>
      <c r="O30" s="2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37"/>
      <c r="AZ30" s="2"/>
      <c r="BA30" s="1"/>
      <c r="BB30" s="98"/>
      <c r="BC30" s="1"/>
      <c r="BD30" s="1"/>
      <c r="BE30" s="98"/>
      <c r="BF30" s="1"/>
    </row>
    <row r="31" spans="1:58">
      <c r="A31" s="11"/>
      <c r="B31" s="11"/>
      <c r="C31" s="11"/>
      <c r="D31" s="11"/>
      <c r="E31" s="11"/>
      <c r="F31" s="11"/>
      <c r="G31" s="11"/>
      <c r="H31" s="11"/>
      <c r="I31" s="11"/>
      <c r="J31" s="11"/>
      <c r="K31" s="11"/>
      <c r="L31" s="11"/>
      <c r="M31" s="11"/>
      <c r="N31" s="21"/>
      <c r="O31" s="2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37"/>
      <c r="AZ31" s="2"/>
      <c r="BA31" s="1"/>
      <c r="BB31" s="98"/>
      <c r="BC31" s="1"/>
      <c r="BD31" s="1"/>
      <c r="BE31" s="98"/>
      <c r="BF31" s="1"/>
    </row>
    <row r="32" spans="1:58">
      <c r="A32" s="11"/>
      <c r="B32" s="11"/>
      <c r="C32" s="11"/>
      <c r="D32" s="11"/>
      <c r="E32" s="11"/>
      <c r="F32" s="11"/>
      <c r="G32" s="11"/>
      <c r="H32" s="11"/>
      <c r="I32" s="11"/>
      <c r="J32" s="11"/>
      <c r="K32" s="11"/>
      <c r="L32" s="11"/>
      <c r="M32" s="11"/>
      <c r="N32" s="21"/>
      <c r="O32" s="2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37"/>
      <c r="AZ32" s="2"/>
      <c r="BA32" s="1"/>
      <c r="BB32" s="98"/>
      <c r="BC32" s="1"/>
      <c r="BD32" s="1"/>
      <c r="BE32" s="98"/>
      <c r="BF32" s="1"/>
    </row>
    <row r="33" spans="1:58">
      <c r="A33" s="11"/>
      <c r="B33" s="11"/>
      <c r="C33" s="11"/>
      <c r="D33" s="11"/>
      <c r="E33" s="11"/>
      <c r="F33" s="11"/>
      <c r="G33" s="11"/>
      <c r="H33" s="11"/>
      <c r="I33" s="11"/>
      <c r="J33" s="11"/>
      <c r="K33" s="11"/>
      <c r="L33" s="11"/>
      <c r="M33" s="11"/>
      <c r="N33" s="21"/>
      <c r="O33" s="2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37"/>
      <c r="AZ33" s="2"/>
      <c r="BA33" s="1"/>
      <c r="BB33" s="98"/>
      <c r="BC33" s="1"/>
      <c r="BD33" s="1"/>
      <c r="BE33" s="98"/>
      <c r="BF33" s="1"/>
    </row>
    <row r="34" spans="1:58">
      <c r="A34" s="11"/>
      <c r="B34" s="11"/>
      <c r="C34" s="11"/>
      <c r="D34" s="11"/>
      <c r="E34" s="11"/>
      <c r="F34" s="11"/>
      <c r="G34" s="11"/>
      <c r="H34" s="11"/>
      <c r="I34" s="11"/>
      <c r="J34" s="11"/>
      <c r="K34" s="11"/>
      <c r="L34" s="11"/>
      <c r="M34" s="11"/>
      <c r="N34" s="21"/>
      <c r="O34" s="2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37"/>
      <c r="AZ34" s="2"/>
      <c r="BA34" s="1"/>
      <c r="BB34" s="98"/>
      <c r="BC34" s="1"/>
      <c r="BD34" s="1"/>
      <c r="BE34" s="98"/>
      <c r="BF34" s="1"/>
    </row>
    <row r="35" spans="1:58">
      <c r="A35" s="11"/>
      <c r="B35" s="11"/>
      <c r="C35" s="11"/>
      <c r="D35" s="11"/>
      <c r="E35" s="11"/>
      <c r="F35" s="11"/>
      <c r="G35" s="11"/>
      <c r="H35" s="11"/>
      <c r="I35" s="11"/>
      <c r="J35" s="11"/>
      <c r="K35" s="11"/>
      <c r="L35" s="11"/>
      <c r="M35" s="11"/>
      <c r="N35" s="21"/>
      <c r="O35" s="2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37"/>
      <c r="AZ35" s="2"/>
      <c r="BA35" s="1"/>
      <c r="BB35" s="98"/>
      <c r="BC35" s="1"/>
      <c r="BD35" s="1"/>
      <c r="BE35" s="98"/>
      <c r="BF35" s="1"/>
    </row>
    <row r="36" spans="1:58">
      <c r="A36" s="11"/>
      <c r="B36" s="11"/>
      <c r="C36" s="11"/>
      <c r="D36" s="11"/>
      <c r="E36" s="11"/>
      <c r="F36" s="11"/>
      <c r="G36" s="11"/>
      <c r="H36" s="11"/>
      <c r="I36" s="11"/>
      <c r="J36" s="11"/>
      <c r="K36" s="11"/>
      <c r="L36" s="11"/>
      <c r="M36" s="11"/>
      <c r="N36" s="21"/>
      <c r="O36" s="2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37"/>
      <c r="AZ36" s="2"/>
      <c r="BA36" s="1"/>
      <c r="BB36" s="98"/>
      <c r="BC36" s="1"/>
      <c r="BD36" s="1"/>
      <c r="BE36" s="98"/>
      <c r="BF36" s="1"/>
    </row>
    <row r="37" spans="1:58">
      <c r="A37" s="11"/>
      <c r="B37" s="11"/>
      <c r="C37" s="11"/>
      <c r="D37" s="11"/>
      <c r="E37" s="11"/>
      <c r="F37" s="11"/>
      <c r="G37" s="11"/>
      <c r="H37" s="11"/>
      <c r="I37" s="11"/>
      <c r="J37" s="11"/>
      <c r="K37" s="11"/>
      <c r="L37" s="11"/>
      <c r="M37" s="11"/>
      <c r="N37" s="21"/>
      <c r="O37" s="2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37"/>
      <c r="AZ37" s="2"/>
      <c r="BA37" s="1"/>
      <c r="BB37" s="98"/>
      <c r="BC37" s="1"/>
      <c r="BD37" s="1"/>
      <c r="BE37" s="98"/>
      <c r="BF37" s="1"/>
    </row>
    <row r="38" spans="1:58">
      <c r="A38" s="11"/>
      <c r="B38" s="11"/>
      <c r="C38" s="11"/>
      <c r="D38" s="11"/>
      <c r="E38" s="11"/>
      <c r="F38" s="11"/>
      <c r="G38" s="11"/>
      <c r="H38" s="11"/>
      <c r="I38" s="11"/>
      <c r="J38" s="11"/>
      <c r="K38" s="11"/>
      <c r="L38" s="11"/>
      <c r="M38" s="11"/>
      <c r="N38" s="21"/>
      <c r="O38" s="2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37"/>
      <c r="AZ38" s="2"/>
      <c r="BA38" s="1"/>
      <c r="BB38" s="98"/>
      <c r="BC38" s="1"/>
      <c r="BD38" s="1"/>
      <c r="BE38" s="98"/>
      <c r="BF38" s="1"/>
    </row>
    <row r="39" spans="1:58">
      <c r="A39" s="11"/>
      <c r="B39" s="11"/>
      <c r="C39" s="11"/>
      <c r="D39" s="11"/>
      <c r="E39" s="11"/>
      <c r="F39" s="11"/>
      <c r="G39" s="11"/>
      <c r="H39" s="11"/>
      <c r="I39" s="11"/>
      <c r="J39" s="11"/>
      <c r="K39" s="11"/>
      <c r="L39" s="11"/>
      <c r="M39" s="11"/>
      <c r="N39" s="21"/>
      <c r="O39" s="2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37"/>
      <c r="AZ39" s="2"/>
      <c r="BA39" s="1"/>
      <c r="BB39" s="98"/>
      <c r="BC39" s="1"/>
      <c r="BD39" s="1"/>
      <c r="BE39" s="98"/>
      <c r="BF39" s="1"/>
    </row>
    <row r="40" spans="1:58">
      <c r="A40" s="11"/>
      <c r="B40" s="11"/>
      <c r="C40" s="11"/>
      <c r="D40" s="11"/>
      <c r="E40" s="11"/>
      <c r="F40" s="11"/>
      <c r="G40" s="11"/>
      <c r="H40" s="11"/>
      <c r="I40" s="11"/>
      <c r="J40" s="11"/>
      <c r="K40" s="11"/>
      <c r="L40" s="11"/>
      <c r="M40" s="11"/>
      <c r="N40" s="21"/>
      <c r="O40" s="2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37"/>
      <c r="AZ40" s="2"/>
      <c r="BA40" s="1"/>
      <c r="BB40" s="98"/>
      <c r="BC40" s="1"/>
      <c r="BD40" s="1"/>
      <c r="BE40" s="98"/>
      <c r="BF40" s="1"/>
    </row>
    <row r="41" spans="1:58">
      <c r="A41" s="11"/>
      <c r="B41" s="11"/>
      <c r="C41" s="11"/>
      <c r="D41" s="11"/>
      <c r="E41" s="11"/>
      <c r="F41" s="11"/>
      <c r="G41" s="11"/>
      <c r="H41" s="11"/>
      <c r="I41" s="11"/>
      <c r="J41" s="11"/>
      <c r="K41" s="11"/>
      <c r="L41" s="11"/>
      <c r="M41" s="11"/>
      <c r="N41" s="21"/>
      <c r="O41" s="2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37"/>
      <c r="AZ41" s="2"/>
      <c r="BA41" s="1"/>
      <c r="BB41" s="98"/>
      <c r="BC41" s="1"/>
      <c r="BD41" s="1"/>
      <c r="BE41" s="98"/>
      <c r="BF41" s="1"/>
    </row>
    <row r="42" spans="1:58">
      <c r="A42" s="11"/>
      <c r="B42" s="11"/>
      <c r="C42" s="11"/>
      <c r="D42" s="11"/>
      <c r="E42" s="11"/>
      <c r="F42" s="11"/>
      <c r="G42" s="11"/>
      <c r="H42" s="11"/>
      <c r="I42" s="11"/>
      <c r="J42" s="11"/>
      <c r="K42" s="11"/>
      <c r="L42" s="11"/>
      <c r="M42" s="11"/>
      <c r="N42" s="21"/>
      <c r="O42" s="2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37"/>
      <c r="AZ42" s="2"/>
      <c r="BA42" s="1"/>
      <c r="BB42" s="98"/>
      <c r="BC42" s="1"/>
      <c r="BD42" s="1"/>
      <c r="BE42" s="98"/>
      <c r="BF42" s="1"/>
    </row>
    <row r="43" spans="1:58">
      <c r="A43" s="11"/>
      <c r="B43" s="11"/>
      <c r="C43" s="11"/>
      <c r="D43" s="11"/>
      <c r="E43" s="11"/>
      <c r="F43" s="11"/>
      <c r="G43" s="11"/>
      <c r="H43" s="11"/>
      <c r="I43" s="11"/>
      <c r="J43" s="11"/>
      <c r="K43" s="11"/>
      <c r="L43" s="11"/>
      <c r="M43" s="11"/>
      <c r="N43" s="21"/>
      <c r="O43" s="2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37"/>
      <c r="AZ43" s="2"/>
      <c r="BA43" s="1"/>
      <c r="BB43" s="98"/>
      <c r="BC43" s="1"/>
      <c r="BD43" s="1"/>
      <c r="BE43" s="98"/>
      <c r="BF43" s="1"/>
    </row>
    <row r="44" spans="1:58">
      <c r="A44" s="11"/>
      <c r="B44" s="11"/>
      <c r="C44" s="11"/>
      <c r="D44" s="11"/>
      <c r="E44" s="11"/>
      <c r="F44" s="11"/>
      <c r="G44" s="11"/>
      <c r="H44" s="11"/>
      <c r="I44" s="11"/>
      <c r="J44" s="11"/>
      <c r="K44" s="11"/>
      <c r="L44" s="11"/>
      <c r="M44" s="11"/>
      <c r="N44" s="21"/>
      <c r="O44" s="2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37"/>
      <c r="AZ44" s="2"/>
      <c r="BA44" s="1"/>
      <c r="BB44" s="98"/>
      <c r="BC44" s="1"/>
      <c r="BD44" s="1"/>
      <c r="BE44" s="98"/>
      <c r="BF44" s="1"/>
    </row>
    <row r="45" spans="1:58" ht="126">
      <c r="A45" s="53" t="s">
        <v>918</v>
      </c>
      <c r="B45" s="53" t="s">
        <v>919</v>
      </c>
      <c r="C45" s="53" t="s">
        <v>920</v>
      </c>
      <c r="D45" s="53" t="s">
        <v>921</v>
      </c>
      <c r="E45" s="53" t="s">
        <v>910</v>
      </c>
      <c r="F45" s="53" t="s">
        <v>922</v>
      </c>
      <c r="G45" s="53" t="s">
        <v>922</v>
      </c>
      <c r="H45" s="53" t="s">
        <v>923</v>
      </c>
      <c r="I45" s="53" t="s">
        <v>924</v>
      </c>
      <c r="J45" s="53" t="s">
        <v>925</v>
      </c>
      <c r="K45" s="53" t="s">
        <v>925</v>
      </c>
      <c r="L45" s="53" t="s">
        <v>925</v>
      </c>
      <c r="M45" s="53" t="s">
        <v>925</v>
      </c>
      <c r="N45" s="53" t="s">
        <v>926</v>
      </c>
      <c r="O45" s="53" t="s">
        <v>926</v>
      </c>
      <c r="P45" s="53" t="s">
        <v>926</v>
      </c>
      <c r="Q45" s="53" t="s">
        <v>927</v>
      </c>
      <c r="R45" s="53" t="s">
        <v>928</v>
      </c>
      <c r="S45" s="53" t="s">
        <v>929</v>
      </c>
      <c r="T45" s="53" t="s">
        <v>930</v>
      </c>
      <c r="U45" s="53" t="s">
        <v>931</v>
      </c>
      <c r="V45" s="53" t="s">
        <v>931</v>
      </c>
      <c r="W45" s="53" t="s">
        <v>932</v>
      </c>
      <c r="X45" s="53" t="s">
        <v>933</v>
      </c>
      <c r="Y45" s="53" t="s">
        <v>934</v>
      </c>
      <c r="Z45" s="53" t="s">
        <v>935</v>
      </c>
      <c r="AA45" s="53" t="s">
        <v>933</v>
      </c>
      <c r="AB45" s="53" t="s">
        <v>936</v>
      </c>
      <c r="AC45" s="53" t="s">
        <v>937</v>
      </c>
      <c r="AD45" s="53" t="s">
        <v>931</v>
      </c>
      <c r="AE45" s="53" t="s">
        <v>931</v>
      </c>
      <c r="AF45" s="53" t="s">
        <v>931</v>
      </c>
      <c r="AG45" s="53" t="s">
        <v>931</v>
      </c>
      <c r="AH45" s="53" t="s">
        <v>931</v>
      </c>
      <c r="AI45" s="53" t="s">
        <v>931</v>
      </c>
      <c r="AJ45" s="53" t="s">
        <v>938</v>
      </c>
      <c r="AK45" s="53" t="s">
        <v>939</v>
      </c>
      <c r="AL45" s="53" t="s">
        <v>940</v>
      </c>
      <c r="AM45" s="53" t="s">
        <v>941</v>
      </c>
      <c r="AN45" s="2"/>
      <c r="AO45" s="2"/>
      <c r="AP45" s="2"/>
      <c r="AQ45" s="2"/>
      <c r="AR45" s="2"/>
      <c r="AS45" s="2"/>
      <c r="AT45" s="2"/>
      <c r="AU45" s="2"/>
      <c r="AV45" s="2"/>
      <c r="AW45" s="2"/>
      <c r="AX45" s="2"/>
      <c r="AY45" s="37"/>
      <c r="AZ45" s="2"/>
      <c r="BA45" s="1"/>
      <c r="BB45" s="98"/>
      <c r="BC45" s="1"/>
      <c r="BD45" s="1"/>
      <c r="BE45" s="98"/>
      <c r="BF45" s="1"/>
    </row>
    <row r="46" spans="1:58" ht="371">
      <c r="A46" s="2"/>
      <c r="B46" s="2"/>
      <c r="C46" s="54" t="s">
        <v>942</v>
      </c>
      <c r="D46" s="54" t="s">
        <v>943</v>
      </c>
      <c r="E46" s="54" t="s">
        <v>944</v>
      </c>
      <c r="F46" s="54" t="s">
        <v>945</v>
      </c>
      <c r="G46" s="54" t="s">
        <v>946</v>
      </c>
      <c r="H46" s="54" t="s">
        <v>947</v>
      </c>
      <c r="I46" s="54" t="s">
        <v>948</v>
      </c>
      <c r="J46" s="54" t="s">
        <v>949</v>
      </c>
      <c r="K46" s="54" t="s">
        <v>950</v>
      </c>
      <c r="L46" s="54" t="s">
        <v>951</v>
      </c>
      <c r="M46" s="54" t="s">
        <v>952</v>
      </c>
      <c r="N46" s="54" t="s">
        <v>953</v>
      </c>
      <c r="O46" s="2"/>
      <c r="P46" s="2"/>
      <c r="Q46" s="54" t="s">
        <v>954</v>
      </c>
      <c r="R46" s="54" t="s">
        <v>955</v>
      </c>
      <c r="S46" s="54" t="s">
        <v>956</v>
      </c>
      <c r="T46" s="54" t="s">
        <v>956</v>
      </c>
      <c r="U46" s="54" t="s">
        <v>957</v>
      </c>
      <c r="V46" s="54" t="s">
        <v>958</v>
      </c>
      <c r="W46" s="54" t="s">
        <v>959</v>
      </c>
      <c r="X46" s="54" t="s">
        <v>954</v>
      </c>
      <c r="Y46" s="54" t="s">
        <v>954</v>
      </c>
      <c r="Z46" s="54" t="s">
        <v>954</v>
      </c>
      <c r="AA46" s="54" t="s">
        <v>954</v>
      </c>
      <c r="AB46" s="54" t="s">
        <v>960</v>
      </c>
      <c r="AC46" s="54" t="s">
        <v>954</v>
      </c>
      <c r="AD46" s="54" t="s">
        <v>961</v>
      </c>
      <c r="AE46" s="54" t="s">
        <v>962</v>
      </c>
      <c r="AF46" s="54" t="s">
        <v>963</v>
      </c>
      <c r="AG46" s="54" t="s">
        <v>963</v>
      </c>
      <c r="AH46" s="54" t="s">
        <v>963</v>
      </c>
      <c r="AI46" s="54" t="s">
        <v>963</v>
      </c>
      <c r="AJ46" s="54" t="s">
        <v>964</v>
      </c>
      <c r="AK46" s="54" t="s">
        <v>965</v>
      </c>
      <c r="AL46" s="54" t="s">
        <v>966</v>
      </c>
      <c r="AM46" s="54" t="s">
        <v>967</v>
      </c>
      <c r="AN46" s="2"/>
      <c r="AO46" s="2"/>
      <c r="AP46" s="2"/>
      <c r="AQ46" s="2"/>
      <c r="AR46" s="2"/>
      <c r="AS46" s="2"/>
      <c r="AT46" s="2"/>
      <c r="AU46" s="2"/>
      <c r="AV46" s="2"/>
      <c r="AW46" s="2"/>
      <c r="AX46" s="2"/>
      <c r="AY46" s="37"/>
      <c r="AZ46" s="2"/>
      <c r="BA46" s="1"/>
      <c r="BB46" s="98"/>
      <c r="BC46" s="1"/>
      <c r="BD46" s="1"/>
      <c r="BE46" s="98"/>
      <c r="BF46" s="1"/>
    </row>
    <row r="47" spans="1:58">
      <c r="A47" s="11" t="s">
        <v>968</v>
      </c>
      <c r="B47" s="11"/>
      <c r="C47" s="11"/>
      <c r="D47" s="11"/>
      <c r="E47" s="11"/>
      <c r="F47" s="11"/>
      <c r="G47" s="11"/>
      <c r="H47" s="11"/>
      <c r="I47" s="11"/>
      <c r="J47" s="11"/>
      <c r="K47" s="11"/>
      <c r="L47" s="11"/>
      <c r="M47" s="11"/>
      <c r="N47" s="21"/>
      <c r="O47" s="2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37"/>
      <c r="AZ47" s="2"/>
      <c r="BA47" s="1"/>
      <c r="BB47" s="98"/>
      <c r="BC47" s="1"/>
      <c r="BD47" s="1"/>
      <c r="BE47" s="98"/>
      <c r="BF47" s="1"/>
    </row>
    <row r="48" spans="1:5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37"/>
      <c r="AZ48" s="2"/>
      <c r="BA48" s="1"/>
      <c r="BB48" s="98"/>
      <c r="BC48" s="1"/>
      <c r="BD48" s="1"/>
      <c r="BE48" s="98"/>
      <c r="BF48" s="1"/>
    </row>
    <row r="49" spans="1:58">
      <c r="A49" s="56" t="s">
        <v>969</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37"/>
      <c r="AZ49" s="2"/>
      <c r="BA49" s="1"/>
      <c r="BB49" s="98"/>
      <c r="BC49" s="1"/>
      <c r="BD49" s="1"/>
      <c r="BE49" s="98"/>
      <c r="BF49" s="1"/>
    </row>
    <row r="50" spans="1:58">
      <c r="A50" s="5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37"/>
      <c r="AZ50" s="2"/>
      <c r="BA50" s="1"/>
      <c r="BB50" s="98"/>
      <c r="BC50" s="1"/>
      <c r="BD50" s="1"/>
      <c r="BE50" s="98"/>
      <c r="BF50" s="1"/>
    </row>
    <row r="51" spans="1:58">
      <c r="A51" s="55" t="s">
        <v>970</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37"/>
      <c r="AZ51" s="2"/>
      <c r="BA51" s="1"/>
      <c r="BB51" s="98"/>
      <c r="BC51" s="1"/>
      <c r="BD51" s="1"/>
      <c r="BE51" s="98"/>
      <c r="BF51" s="1"/>
    </row>
    <row r="52" spans="1:58">
      <c r="A52" s="55" t="s">
        <v>971</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37"/>
      <c r="AZ52" s="2"/>
      <c r="BA52" s="1"/>
      <c r="BB52" s="98"/>
      <c r="BC52" s="1"/>
      <c r="BD52" s="1"/>
      <c r="BE52" s="98"/>
      <c r="BF52" s="1"/>
    </row>
    <row r="53" spans="1:58">
      <c r="A53" s="55" t="s">
        <v>972</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37"/>
      <c r="AZ53" s="2"/>
      <c r="BA53" s="1"/>
      <c r="BB53" s="98"/>
      <c r="BC53" s="1"/>
      <c r="BD53" s="1"/>
      <c r="BE53" s="98"/>
      <c r="BF53" s="1"/>
    </row>
    <row r="54" spans="1:58">
      <c r="A54" s="55" t="s">
        <v>973</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37"/>
      <c r="AZ54" s="2"/>
      <c r="BA54" s="1"/>
      <c r="BB54" s="98"/>
      <c r="BC54" s="1"/>
      <c r="BD54" s="1"/>
      <c r="BE54" s="98"/>
      <c r="BF54" s="1"/>
    </row>
    <row r="55" spans="1:58">
      <c r="A55" s="55" t="s">
        <v>974</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37"/>
      <c r="AZ55" s="2"/>
      <c r="BA55" s="1"/>
      <c r="BB55" s="98"/>
      <c r="BC55" s="1"/>
      <c r="BD55" s="1"/>
      <c r="BE55" s="98"/>
      <c r="BF55" s="1"/>
    </row>
    <row r="56" spans="1:58">
      <c r="A56" s="55" t="s">
        <v>975</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37"/>
      <c r="AZ56" s="2"/>
      <c r="BA56" s="1"/>
      <c r="BB56" s="98"/>
      <c r="BC56" s="1"/>
      <c r="BD56" s="1"/>
      <c r="BE56" s="98"/>
      <c r="BF56" s="1"/>
    </row>
    <row r="57" spans="1:58">
      <c r="A57" s="55" t="s">
        <v>976</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37"/>
      <c r="AZ57" s="2"/>
      <c r="BA57" s="1"/>
      <c r="BB57" s="98"/>
      <c r="BC57" s="1"/>
      <c r="BD57" s="1"/>
      <c r="BE57" s="98"/>
      <c r="BF57" s="1"/>
    </row>
    <row r="58" spans="1:58">
      <c r="A58" s="5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37"/>
      <c r="AZ58" s="2"/>
      <c r="BA58" s="1"/>
      <c r="BB58" s="98"/>
      <c r="BC58" s="1"/>
      <c r="BD58" s="1"/>
      <c r="BE58" s="98"/>
      <c r="BF58" s="1"/>
    </row>
    <row r="59" spans="1:58">
      <c r="A59" s="56" t="s">
        <v>977</v>
      </c>
      <c r="B59" s="2"/>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37"/>
      <c r="AZ59" s="2"/>
      <c r="BA59" s="1"/>
      <c r="BB59" s="98"/>
      <c r="BC59" s="1"/>
      <c r="BD59" s="1"/>
      <c r="BE59" s="98"/>
      <c r="BF59" s="1"/>
    </row>
    <row r="60" spans="1:58">
      <c r="A60" s="5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37"/>
      <c r="AZ60" s="2"/>
      <c r="BA60" s="1"/>
      <c r="BB60" s="98"/>
      <c r="BC60" s="1"/>
      <c r="BD60" s="1"/>
      <c r="BE60" s="98"/>
      <c r="BF60" s="1"/>
    </row>
    <row r="61" spans="1:58">
      <c r="A61" s="55" t="s">
        <v>978</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37"/>
      <c r="AZ61" s="2"/>
      <c r="BA61" s="1"/>
      <c r="BB61" s="98"/>
      <c r="BC61" s="1"/>
      <c r="BD61" s="1"/>
      <c r="BE61" s="98"/>
      <c r="BF61" s="1"/>
    </row>
    <row r="62" spans="1:58">
      <c r="A62" s="55" t="s">
        <v>979</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37"/>
      <c r="AZ62" s="2"/>
      <c r="BA62" s="1"/>
      <c r="BB62" s="98"/>
      <c r="BC62" s="1"/>
      <c r="BD62" s="1"/>
      <c r="BE62" s="98"/>
      <c r="BF62" s="1"/>
    </row>
    <row r="63" spans="1:58">
      <c r="A63" s="55" t="s">
        <v>980</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37"/>
      <c r="AZ63" s="2"/>
      <c r="BA63" s="1"/>
      <c r="BB63" s="98"/>
      <c r="BC63" s="1"/>
      <c r="BD63" s="1"/>
      <c r="BE63" s="98"/>
      <c r="BF63" s="1"/>
    </row>
    <row r="64" spans="1:58">
      <c r="A64" s="55" t="s">
        <v>981</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37"/>
      <c r="AZ64" s="2"/>
      <c r="BA64" s="1"/>
      <c r="BB64" s="98"/>
      <c r="BC64" s="1"/>
      <c r="BD64" s="1"/>
      <c r="BE64" s="98"/>
      <c r="BF64" s="1"/>
    </row>
    <row r="65" spans="1:58">
      <c r="A65" s="55" t="s">
        <v>982</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37"/>
      <c r="AZ65" s="2"/>
      <c r="BA65" s="1"/>
      <c r="BB65" s="98"/>
      <c r="BC65" s="1"/>
      <c r="BD65" s="1"/>
      <c r="BE65" s="98"/>
      <c r="BF65" s="1"/>
    </row>
    <row r="66" spans="1:58">
      <c r="A66" s="55" t="s">
        <v>983</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37"/>
      <c r="AZ66" s="2"/>
      <c r="BA66" s="1"/>
      <c r="BB66" s="98"/>
      <c r="BC66" s="1"/>
      <c r="BD66" s="1"/>
      <c r="BE66" s="98"/>
      <c r="BF66" s="1"/>
    </row>
    <row r="67" spans="1:58">
      <c r="A67" s="5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37"/>
      <c r="AZ67" s="2"/>
      <c r="BA67" s="1"/>
      <c r="BB67" s="98"/>
      <c r="BC67" s="1"/>
      <c r="BD67" s="1"/>
      <c r="BE67" s="98"/>
      <c r="BF67" s="1"/>
    </row>
    <row r="68" spans="1:58">
      <c r="A68" s="56" t="s">
        <v>984</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37"/>
      <c r="AZ68" s="2"/>
      <c r="BA68" s="1"/>
      <c r="BB68" s="98"/>
      <c r="BC68" s="1"/>
      <c r="BD68" s="1"/>
      <c r="BE68" s="98"/>
      <c r="BF68" s="1"/>
    </row>
    <row r="69" spans="1:58">
      <c r="A69" s="5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37"/>
      <c r="AZ69" s="2"/>
      <c r="BA69" s="1"/>
      <c r="BB69" s="98"/>
      <c r="BC69" s="1"/>
      <c r="BD69" s="1"/>
      <c r="BE69" s="98"/>
      <c r="BF69" s="1"/>
    </row>
    <row r="70" spans="1:58">
      <c r="A70" s="55" t="s">
        <v>909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37"/>
      <c r="AZ70" s="2"/>
      <c r="BA70" s="1"/>
      <c r="BB70" s="98"/>
      <c r="BC70" s="1"/>
      <c r="BD70" s="1"/>
      <c r="BE70" s="98"/>
      <c r="BF70" s="1"/>
    </row>
    <row r="71" spans="1:58">
      <c r="A71" s="55" t="s">
        <v>985</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37"/>
      <c r="AZ71" s="2"/>
      <c r="BA71" s="1"/>
      <c r="BB71" s="98"/>
      <c r="BC71" s="1"/>
      <c r="BD71" s="1"/>
      <c r="BE71" s="98"/>
      <c r="BF71" s="1"/>
    </row>
    <row r="72" spans="1:58">
      <c r="A72" s="55" t="s">
        <v>986</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37"/>
      <c r="AZ72" s="2"/>
      <c r="BA72" s="1"/>
      <c r="BB72" s="98"/>
      <c r="BC72" s="1"/>
      <c r="BD72" s="1"/>
      <c r="BE72" s="98"/>
      <c r="BF72" s="1"/>
    </row>
    <row r="73" spans="1:58">
      <c r="A73" s="55" t="s">
        <v>987</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37"/>
      <c r="AZ73" s="2"/>
      <c r="BA73" s="1"/>
      <c r="BB73" s="98"/>
      <c r="BC73" s="1"/>
      <c r="BD73" s="1"/>
      <c r="BE73" s="98"/>
      <c r="BF73" s="1"/>
    </row>
    <row r="74" spans="1:58">
      <c r="A74" s="55" t="s">
        <v>988</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37"/>
      <c r="AZ74" s="2"/>
      <c r="BA74" s="1"/>
      <c r="BB74" s="98"/>
      <c r="BC74" s="1"/>
      <c r="BD74" s="1"/>
      <c r="BE74" s="98"/>
      <c r="BF74" s="1"/>
    </row>
    <row r="75" spans="1:58">
      <c r="A75" s="55" t="s">
        <v>989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37"/>
      <c r="AZ75" s="2"/>
      <c r="BA75" s="1"/>
      <c r="BB75" s="98"/>
      <c r="BC75" s="1"/>
      <c r="BD75" s="1"/>
      <c r="BE75" s="98"/>
      <c r="BF75" s="1"/>
    </row>
    <row r="76" spans="1:58">
      <c r="A76" s="55" t="s">
        <v>990</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37"/>
      <c r="AZ76" s="2"/>
      <c r="BA76" s="1"/>
      <c r="BB76" s="98"/>
      <c r="BC76" s="1"/>
      <c r="BD76" s="1"/>
      <c r="BE76" s="98"/>
      <c r="BF76" s="1"/>
    </row>
    <row r="77" spans="1:58">
      <c r="A77" s="5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37"/>
      <c r="AZ77" s="2"/>
      <c r="BA77" s="1"/>
      <c r="BB77" s="98"/>
      <c r="BC77" s="1"/>
      <c r="BD77" s="1"/>
      <c r="BE77" s="98"/>
      <c r="BF77" s="1"/>
    </row>
    <row r="78" spans="1:58">
      <c r="A78" s="56" t="s">
        <v>991</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37"/>
      <c r="AZ78" s="2"/>
      <c r="BA78" s="1"/>
      <c r="BB78" s="98"/>
      <c r="BC78" s="1"/>
      <c r="BD78" s="1"/>
      <c r="BE78" s="98"/>
      <c r="BF78" s="1"/>
    </row>
    <row r="79" spans="1:58">
      <c r="A79" s="5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37"/>
      <c r="AZ79" s="2"/>
      <c r="BA79" s="1"/>
      <c r="BB79" s="98"/>
      <c r="BC79" s="1"/>
      <c r="BD79" s="1"/>
      <c r="BE79" s="98"/>
      <c r="BF79" s="1"/>
    </row>
    <row r="80" spans="1:58">
      <c r="A80" s="55" t="s">
        <v>992</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37"/>
      <c r="AZ80" s="2"/>
      <c r="BA80" s="1"/>
      <c r="BB80" s="98"/>
      <c r="BC80" s="1"/>
      <c r="BD80" s="1"/>
      <c r="BE80" s="98"/>
      <c r="BF80" s="1"/>
    </row>
    <row r="81" spans="1:58">
      <c r="A81" s="55" t="s">
        <v>993</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37"/>
      <c r="AZ81" s="2"/>
      <c r="BA81" s="1"/>
      <c r="BB81" s="98"/>
      <c r="BC81" s="1"/>
      <c r="BD81" s="1"/>
      <c r="BE81" s="98"/>
      <c r="BF81" s="1"/>
    </row>
    <row r="82" spans="1:58">
      <c r="A82" s="5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37"/>
      <c r="AZ82" s="2"/>
      <c r="BA82" s="1"/>
      <c r="BB82" s="98"/>
      <c r="BC82" s="1"/>
      <c r="BD82" s="1"/>
      <c r="BE82" s="98"/>
      <c r="BF82" s="1"/>
    </row>
    <row r="83" spans="1:58">
      <c r="A83" s="55" t="s">
        <v>994</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37"/>
      <c r="AZ83" s="2"/>
      <c r="BA83" s="1"/>
      <c r="BB83" s="98"/>
      <c r="BC83" s="1"/>
      <c r="BD83" s="1"/>
      <c r="BE83" s="98"/>
      <c r="BF83" s="1"/>
    </row>
    <row r="84" spans="1:58">
      <c r="A84" s="5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37"/>
      <c r="AZ84" s="2"/>
      <c r="BA84" s="1"/>
      <c r="BB84" s="98"/>
      <c r="BC84" s="1"/>
      <c r="BD84" s="1"/>
      <c r="BE84" s="98"/>
      <c r="BF84" s="1"/>
    </row>
    <row r="85" spans="1:58">
      <c r="A85" s="55" t="s">
        <v>995</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37"/>
      <c r="AZ85" s="2"/>
      <c r="BA85" s="1"/>
      <c r="BB85" s="98"/>
      <c r="BC85" s="1"/>
      <c r="BD85" s="1"/>
      <c r="BE85" s="98"/>
      <c r="BF85" s="1"/>
    </row>
    <row r="86" spans="1:58">
      <c r="A86" s="55" t="s">
        <v>996</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37"/>
      <c r="AZ86" s="2"/>
      <c r="BA86" s="1"/>
      <c r="BB86" s="98"/>
      <c r="BC86" s="1"/>
      <c r="BD86" s="1"/>
      <c r="BE86" s="98"/>
      <c r="BF86" s="1"/>
    </row>
    <row r="87" spans="1:58">
      <c r="A87" s="5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37"/>
      <c r="AZ87" s="2"/>
      <c r="BA87" s="1"/>
      <c r="BB87" s="98"/>
      <c r="BC87" s="1"/>
      <c r="BD87" s="1"/>
      <c r="BE87" s="98"/>
      <c r="BF87" s="1"/>
    </row>
    <row r="88" spans="1:58">
      <c r="A88" s="56" t="s">
        <v>997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37"/>
      <c r="AZ88" s="2"/>
      <c r="BA88" s="1"/>
      <c r="BB88" s="98"/>
      <c r="BC88" s="1"/>
      <c r="BD88" s="1"/>
      <c r="BE88" s="98"/>
      <c r="BF88" s="1"/>
    </row>
    <row r="89" spans="1:58">
      <c r="A89" s="5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37"/>
      <c r="AZ89" s="2"/>
      <c r="BA89" s="1"/>
      <c r="BB89" s="98"/>
      <c r="BC89" s="1"/>
      <c r="BD89" s="1"/>
      <c r="BE89" s="98"/>
      <c r="BF89" s="1"/>
    </row>
    <row r="90" spans="1:58">
      <c r="A90" s="55" t="s">
        <v>998</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37"/>
      <c r="AZ90" s="2"/>
      <c r="BA90" s="1"/>
      <c r="BB90" s="98"/>
      <c r="BC90" s="1"/>
      <c r="BD90" s="1"/>
      <c r="BE90" s="98"/>
      <c r="BF90" s="1"/>
    </row>
    <row r="91" spans="1:58">
      <c r="A91" s="55" t="s">
        <v>999</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37"/>
      <c r="AZ91" s="2"/>
      <c r="BA91" s="1"/>
      <c r="BB91" s="98"/>
      <c r="BC91" s="1"/>
      <c r="BD91" s="1"/>
      <c r="BE91" s="98"/>
      <c r="BF91" s="1"/>
    </row>
    <row r="92" spans="1:58">
      <c r="A92" s="55" t="s">
        <v>1000</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37"/>
      <c r="AZ92" s="2"/>
      <c r="BA92" s="1"/>
      <c r="BB92" s="98"/>
      <c r="BC92" s="1"/>
      <c r="BD92" s="1"/>
      <c r="BE92" s="98"/>
      <c r="BF92" s="1"/>
    </row>
    <row r="93" spans="1:58">
      <c r="A93" s="55" t="s">
        <v>1001</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37"/>
      <c r="AZ93" s="2"/>
      <c r="BA93" s="1"/>
      <c r="BB93" s="98"/>
      <c r="BC93" s="1"/>
      <c r="BD93" s="1"/>
      <c r="BE93" s="98"/>
      <c r="BF93" s="1"/>
    </row>
    <row r="94" spans="1:58">
      <c r="A94" s="55" t="s">
        <v>1002</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37"/>
      <c r="AZ94" s="2"/>
      <c r="BA94" s="1"/>
      <c r="BB94" s="98"/>
      <c r="BC94" s="1"/>
      <c r="BD94" s="1"/>
      <c r="BE94" s="98"/>
      <c r="BF94" s="1"/>
    </row>
    <row r="95" spans="1:58">
      <c r="A95" s="55" t="s">
        <v>1003</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37"/>
      <c r="AZ95" s="2"/>
      <c r="BA95" s="1"/>
      <c r="BB95" s="98"/>
      <c r="BC95" s="1"/>
      <c r="BD95" s="1"/>
      <c r="BE95" s="98"/>
      <c r="BF95" s="1"/>
    </row>
    <row r="96" spans="1:58">
      <c r="A96" s="5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37"/>
      <c r="AZ96" s="2"/>
      <c r="BA96" s="1"/>
      <c r="BB96" s="98"/>
      <c r="BC96" s="1"/>
      <c r="BD96" s="1"/>
      <c r="BE96" s="98"/>
      <c r="BF96" s="1"/>
    </row>
    <row r="97" spans="1:58">
      <c r="A97" s="56" t="s">
        <v>1004</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37"/>
      <c r="AZ97" s="2"/>
      <c r="BA97" s="1"/>
      <c r="BB97" s="98"/>
      <c r="BC97" s="1"/>
      <c r="BD97" s="1"/>
      <c r="BE97" s="98"/>
      <c r="BF97" s="1"/>
    </row>
    <row r="98" spans="1:58">
      <c r="A98" s="5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37"/>
      <c r="AZ98" s="2"/>
      <c r="BA98" s="1"/>
      <c r="BB98" s="98"/>
      <c r="BC98" s="1"/>
      <c r="BD98" s="1"/>
      <c r="BE98" s="98"/>
      <c r="BF98" s="1"/>
    </row>
    <row r="99" spans="1:58">
      <c r="A99" s="55" t="s">
        <v>1005</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37"/>
      <c r="AZ99" s="2"/>
      <c r="BA99" s="1"/>
      <c r="BB99" s="98"/>
      <c r="BC99" s="1"/>
      <c r="BD99" s="1"/>
      <c r="BE99" s="98"/>
      <c r="BF99" s="1"/>
    </row>
    <row r="100" spans="1:58">
      <c r="A100" s="5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37"/>
      <c r="AZ100" s="2"/>
      <c r="BA100" s="1"/>
      <c r="BB100" s="98"/>
      <c r="BC100" s="1"/>
      <c r="BD100" s="1"/>
      <c r="BE100" s="98"/>
      <c r="BF100" s="1"/>
    </row>
    <row r="101" spans="1:58">
      <c r="A101" s="56" t="s">
        <v>1006</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37"/>
      <c r="AZ101" s="2"/>
      <c r="BA101" s="1"/>
      <c r="BB101" s="98"/>
      <c r="BC101" s="1"/>
      <c r="BD101" s="1"/>
      <c r="BE101" s="98"/>
      <c r="BF101" s="1"/>
    </row>
    <row r="102" spans="1:58">
      <c r="A102" s="5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37"/>
      <c r="AZ102" s="2"/>
      <c r="BA102" s="1"/>
      <c r="BB102" s="98"/>
      <c r="BC102" s="1"/>
      <c r="BD102" s="1"/>
      <c r="BE102" s="98"/>
      <c r="BF102" s="1"/>
    </row>
    <row r="103" spans="1:58">
      <c r="A103" s="55" t="s">
        <v>1007</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37"/>
      <c r="AZ103" s="2"/>
      <c r="BA103" s="1"/>
      <c r="BB103" s="98"/>
      <c r="BC103" s="1"/>
      <c r="BD103" s="1"/>
      <c r="BE103" s="98"/>
      <c r="BF103" s="1"/>
    </row>
    <row r="104" spans="1:58">
      <c r="A104" s="5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37"/>
      <c r="AZ104" s="2"/>
      <c r="BA104" s="1"/>
      <c r="BB104" s="98"/>
      <c r="BC104" s="1"/>
      <c r="BD104" s="1"/>
      <c r="BE104" s="98"/>
      <c r="BF104" s="1"/>
    </row>
    <row r="105" spans="1:58">
      <c r="A105" s="56" t="s">
        <v>1008</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37"/>
      <c r="AZ105" s="2"/>
      <c r="BA105" s="1"/>
      <c r="BB105" s="98"/>
      <c r="BC105" s="1"/>
      <c r="BD105" s="1"/>
      <c r="BE105" s="98"/>
      <c r="BF105" s="1"/>
    </row>
    <row r="106" spans="1:58">
      <c r="A106" s="5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37"/>
      <c r="AZ106" s="2"/>
      <c r="BA106" s="1"/>
      <c r="BB106" s="98"/>
      <c r="BC106" s="1"/>
      <c r="BD106" s="1"/>
      <c r="BE106" s="98"/>
      <c r="BF106" s="1"/>
    </row>
    <row r="107" spans="1:58">
      <c r="A107" s="55" t="s">
        <v>1009</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37"/>
      <c r="AZ107" s="2"/>
      <c r="BA107" s="1"/>
      <c r="BB107" s="98"/>
      <c r="BC107" s="1"/>
      <c r="BD107" s="1"/>
      <c r="BE107" s="98"/>
      <c r="BF107" s="1"/>
    </row>
    <row r="108" spans="1:58">
      <c r="A108" s="55" t="s">
        <v>1010</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37"/>
      <c r="AZ108" s="2"/>
      <c r="BA108" s="1"/>
      <c r="BB108" s="98"/>
      <c r="BC108" s="1"/>
      <c r="BD108" s="1"/>
      <c r="BE108" s="98"/>
      <c r="BF108"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3"/>
  <sheetViews>
    <sheetView workbookViewId="0"/>
  </sheetViews>
  <sheetFormatPr baseColWidth="10" defaultRowHeight="14"/>
  <cols>
    <col min="1" max="1" width="54.83203125" customWidth="1"/>
    <col min="2" max="2" width="15.5" customWidth="1"/>
    <col min="3" max="3" width="15.83203125" customWidth="1"/>
    <col min="4" max="4" width="7" customWidth="1"/>
    <col min="5" max="5" width="19.33203125" customWidth="1"/>
    <col min="6" max="6" width="17.5" customWidth="1"/>
    <col min="7" max="8" width="21.6640625" customWidth="1"/>
    <col min="9" max="9" width="17.6640625" customWidth="1"/>
    <col min="10" max="10" width="18.1640625" customWidth="1"/>
    <col min="11" max="11" width="8" customWidth="1"/>
    <col min="12" max="17" width="9" customWidth="1"/>
  </cols>
  <sheetData>
    <row r="1" spans="1:17" ht="16">
      <c r="A1" s="264" t="s">
        <v>803</v>
      </c>
      <c r="B1" s="328" t="s">
        <v>804</v>
      </c>
      <c r="C1" s="328"/>
      <c r="D1" s="328"/>
      <c r="E1" s="328"/>
      <c r="F1" s="328"/>
      <c r="G1" s="328"/>
      <c r="H1" s="328"/>
      <c r="I1" s="328"/>
      <c r="J1" s="328"/>
      <c r="K1" s="1"/>
      <c r="L1" s="1"/>
      <c r="M1" s="1"/>
      <c r="N1" s="1" t="s">
        <v>805</v>
      </c>
      <c r="O1" s="1"/>
      <c r="P1" s="98"/>
      <c r="Q1" s="1"/>
    </row>
    <row r="2" spans="1:17">
      <c r="A2" s="11"/>
      <c r="B2" s="11"/>
      <c r="C2" s="11"/>
      <c r="D2" s="11"/>
      <c r="E2" s="11"/>
      <c r="F2" s="11"/>
      <c r="G2" s="11"/>
      <c r="H2" s="11"/>
      <c r="I2" s="11"/>
      <c r="J2" s="1"/>
      <c r="K2" s="1"/>
      <c r="L2" s="1"/>
      <c r="M2" s="1"/>
      <c r="N2" s="1"/>
      <c r="O2" s="1"/>
      <c r="P2" s="98"/>
      <c r="Q2" s="1"/>
    </row>
    <row r="3" spans="1:17">
      <c r="A3" s="329" t="s">
        <v>706</v>
      </c>
      <c r="B3" s="329"/>
      <c r="C3" s="262"/>
      <c r="D3" s="262"/>
      <c r="E3" s="262"/>
      <c r="F3" s="262"/>
      <c r="G3" s="262"/>
      <c r="H3" s="262"/>
      <c r="I3" s="262"/>
      <c r="J3" s="262"/>
      <c r="K3" s="1"/>
      <c r="L3" s="1"/>
      <c r="M3" s="1"/>
      <c r="N3" s="1"/>
      <c r="O3" s="1"/>
      <c r="P3" s="98"/>
      <c r="Q3" s="1"/>
    </row>
    <row r="4" spans="1:17" ht="28">
      <c r="A4" s="270" t="s">
        <v>806</v>
      </c>
      <c r="B4" s="322" t="s">
        <v>807</v>
      </c>
      <c r="C4" s="322"/>
      <c r="D4" s="322"/>
      <c r="E4" s="322"/>
      <c r="F4" s="322"/>
      <c r="G4" s="322"/>
      <c r="H4" s="322"/>
      <c r="I4" s="322"/>
      <c r="J4" s="322"/>
      <c r="K4" s="1"/>
      <c r="L4" s="1"/>
      <c r="M4" s="1"/>
      <c r="N4" s="1"/>
      <c r="O4" s="1"/>
      <c r="P4" s="98"/>
      <c r="Q4" s="1"/>
    </row>
    <row r="5" spans="1:17" ht="28">
      <c r="A5" s="270" t="s">
        <v>808</v>
      </c>
      <c r="B5" s="322" t="s">
        <v>809</v>
      </c>
      <c r="C5" s="322"/>
      <c r="D5" s="322"/>
      <c r="E5" s="322"/>
      <c r="F5" s="322"/>
      <c r="G5" s="322"/>
      <c r="H5" s="322"/>
      <c r="I5" s="322"/>
      <c r="J5" s="322"/>
      <c r="K5" s="1"/>
      <c r="L5" s="1"/>
      <c r="M5" s="1"/>
      <c r="N5" s="1"/>
      <c r="O5" s="1"/>
      <c r="P5" s="98"/>
      <c r="Q5" s="1"/>
    </row>
    <row r="6" spans="1:17">
      <c r="A6" s="270" t="s">
        <v>810</v>
      </c>
      <c r="B6" s="322" t="s">
        <v>811</v>
      </c>
      <c r="C6" s="322"/>
      <c r="D6" s="322"/>
      <c r="E6" s="322"/>
      <c r="F6" s="322"/>
      <c r="G6" s="322"/>
      <c r="H6" s="322"/>
      <c r="I6" s="322"/>
      <c r="J6" s="322"/>
      <c r="K6" s="1"/>
      <c r="L6" s="1"/>
      <c r="M6" s="1"/>
      <c r="N6" s="1"/>
      <c r="O6" s="1"/>
      <c r="P6" s="98"/>
      <c r="Q6" s="1"/>
    </row>
    <row r="7" spans="1:17">
      <c r="A7" s="270" t="s">
        <v>68</v>
      </c>
      <c r="B7" s="322" t="s">
        <v>812</v>
      </c>
      <c r="C7" s="322"/>
      <c r="D7" s="322"/>
      <c r="E7" s="322"/>
      <c r="F7" s="322"/>
      <c r="G7" s="322"/>
      <c r="H7" s="322"/>
      <c r="I7" s="322"/>
      <c r="J7" s="322"/>
      <c r="K7" s="1"/>
      <c r="L7" s="1"/>
      <c r="M7" s="1"/>
      <c r="N7" s="1"/>
      <c r="O7" s="1"/>
      <c r="P7" s="98"/>
      <c r="Q7" s="1"/>
    </row>
    <row r="8" spans="1:17">
      <c r="A8" s="1"/>
      <c r="B8" s="1"/>
      <c r="C8" s="1"/>
      <c r="D8" s="1"/>
      <c r="E8" s="1"/>
      <c r="F8" s="1"/>
      <c r="G8" s="1"/>
      <c r="H8" s="1"/>
      <c r="I8" s="1"/>
      <c r="J8" s="1"/>
      <c r="K8" s="1"/>
      <c r="L8" s="1"/>
      <c r="M8" s="1"/>
      <c r="N8" s="1"/>
      <c r="O8" s="1"/>
      <c r="P8" s="98"/>
      <c r="Q8" s="1"/>
    </row>
    <row r="9" spans="1:17">
      <c r="A9" s="1"/>
      <c r="B9" s="1"/>
      <c r="C9" s="1"/>
      <c r="D9" s="1"/>
      <c r="E9" s="1"/>
      <c r="F9" s="1"/>
      <c r="G9" s="1"/>
      <c r="H9" s="1"/>
      <c r="I9" s="1"/>
      <c r="J9" s="1"/>
      <c r="K9" s="1"/>
      <c r="L9" s="1"/>
      <c r="M9" s="1"/>
      <c r="N9" s="1"/>
      <c r="O9" s="1"/>
      <c r="P9" s="98"/>
      <c r="Q9" s="1"/>
    </row>
    <row r="10" spans="1:17">
      <c r="A10" s="327" t="s">
        <v>813</v>
      </c>
      <c r="B10" s="327"/>
      <c r="C10" s="263"/>
      <c r="D10" s="263"/>
      <c r="E10" s="263"/>
      <c r="F10" s="263"/>
      <c r="G10" s="263"/>
      <c r="H10" s="263"/>
      <c r="I10" s="263"/>
      <c r="J10" s="263"/>
      <c r="K10" s="1"/>
      <c r="L10" s="1"/>
      <c r="M10" s="1"/>
      <c r="N10" s="1"/>
      <c r="O10" s="1"/>
      <c r="P10" s="98"/>
      <c r="Q10" s="1"/>
    </row>
    <row r="11" spans="1:17">
      <c r="A11" s="270" t="s">
        <v>73</v>
      </c>
      <c r="B11" s="322" t="s">
        <v>814</v>
      </c>
      <c r="C11" s="322"/>
      <c r="D11" s="322"/>
      <c r="E11" s="322"/>
      <c r="F11" s="322"/>
      <c r="G11" s="322"/>
      <c r="H11" s="322"/>
      <c r="I11" s="322"/>
      <c r="J11" s="322"/>
      <c r="K11" s="175"/>
      <c r="L11" s="175"/>
      <c r="M11" s="175"/>
      <c r="N11" s="1"/>
      <c r="O11" s="1"/>
      <c r="P11" s="98"/>
      <c r="Q11" s="1"/>
    </row>
    <row r="12" spans="1:17">
      <c r="A12" s="1"/>
      <c r="B12" s="1"/>
      <c r="C12" s="1"/>
      <c r="D12" s="1"/>
      <c r="E12" s="1"/>
      <c r="F12" s="1"/>
      <c r="G12" s="1"/>
      <c r="H12" s="1"/>
      <c r="I12" s="1"/>
      <c r="J12" s="1"/>
      <c r="K12" s="1"/>
      <c r="L12" s="1"/>
      <c r="M12" s="1"/>
      <c r="N12" s="1"/>
      <c r="O12" s="1"/>
      <c r="P12" s="98"/>
      <c r="Q12" s="1"/>
    </row>
    <row r="13" spans="1:17">
      <c r="A13" s="1"/>
      <c r="B13" s="1"/>
      <c r="C13" s="1"/>
      <c r="D13" s="1"/>
      <c r="E13" s="1"/>
      <c r="F13" s="1"/>
      <c r="G13" s="1"/>
      <c r="H13" s="1"/>
      <c r="I13" s="1"/>
      <c r="J13" s="1"/>
      <c r="K13" s="1"/>
      <c r="L13" s="1"/>
      <c r="M13" s="1"/>
      <c r="N13" s="1"/>
      <c r="O13" s="1"/>
      <c r="P13" s="98"/>
      <c r="Q13" s="1"/>
    </row>
    <row r="14" spans="1:17">
      <c r="A14" s="327" t="s">
        <v>815</v>
      </c>
      <c r="B14" s="327"/>
      <c r="C14" s="263"/>
      <c r="D14" s="263"/>
      <c r="E14" s="263"/>
      <c r="F14" s="263"/>
      <c r="G14" s="263"/>
      <c r="H14" s="263"/>
      <c r="I14" s="263"/>
      <c r="J14" s="263"/>
      <c r="K14" s="1"/>
      <c r="L14" s="1"/>
      <c r="M14" s="1"/>
      <c r="N14" s="1"/>
      <c r="O14" s="1"/>
      <c r="P14" s="98"/>
      <c r="Q14" s="1"/>
    </row>
    <row r="15" spans="1:17">
      <c r="A15" s="270" t="s">
        <v>816</v>
      </c>
      <c r="B15" s="326" t="s">
        <v>817</v>
      </c>
      <c r="C15" s="326"/>
      <c r="D15" s="326"/>
      <c r="E15" s="326"/>
      <c r="F15" s="326"/>
      <c r="G15" s="326"/>
      <c r="H15" s="326"/>
      <c r="I15" s="326"/>
      <c r="J15" s="326"/>
      <c r="K15" s="175"/>
      <c r="L15" s="175"/>
      <c r="M15" s="175"/>
      <c r="N15" s="1"/>
      <c r="O15" s="1"/>
      <c r="P15" s="98"/>
      <c r="Q15" s="1"/>
    </row>
    <row r="16" spans="1:17">
      <c r="A16" s="270" t="s">
        <v>818</v>
      </c>
      <c r="B16" s="322" t="s">
        <v>819</v>
      </c>
      <c r="C16" s="322"/>
      <c r="D16" s="322"/>
      <c r="E16" s="322"/>
      <c r="F16" s="322"/>
      <c r="G16" s="322"/>
      <c r="H16" s="322"/>
      <c r="I16" s="322"/>
      <c r="J16" s="322"/>
      <c r="K16" s="175"/>
      <c r="L16" s="175"/>
      <c r="M16" s="175"/>
      <c r="N16" s="1"/>
      <c r="O16" s="1"/>
      <c r="P16" s="98"/>
      <c r="Q16" s="1"/>
    </row>
    <row r="17" spans="1:17" ht="28">
      <c r="A17" s="270" t="s">
        <v>820</v>
      </c>
      <c r="B17" s="326" t="s">
        <v>821</v>
      </c>
      <c r="C17" s="326"/>
      <c r="D17" s="326"/>
      <c r="E17" s="326"/>
      <c r="F17" s="326"/>
      <c r="G17" s="326"/>
      <c r="H17" s="326"/>
      <c r="I17" s="326"/>
      <c r="J17" s="326"/>
      <c r="K17" s="175"/>
      <c r="L17" s="175"/>
      <c r="M17" s="175"/>
      <c r="N17" s="1"/>
      <c r="O17" s="1"/>
      <c r="P17" s="98"/>
      <c r="Q17" s="1"/>
    </row>
    <row r="18" spans="1:17" ht="28">
      <c r="A18" s="270" t="s">
        <v>822</v>
      </c>
      <c r="B18" s="326" t="s">
        <v>823</v>
      </c>
      <c r="C18" s="326"/>
      <c r="D18" s="326"/>
      <c r="E18" s="326"/>
      <c r="F18" s="326"/>
      <c r="G18" s="326"/>
      <c r="H18" s="326"/>
      <c r="I18" s="326"/>
      <c r="J18" s="326"/>
      <c r="K18" s="175"/>
      <c r="L18" s="175"/>
      <c r="M18" s="175"/>
      <c r="N18" s="1"/>
      <c r="O18" s="1"/>
      <c r="P18" s="98"/>
      <c r="Q18" s="1"/>
    </row>
    <row r="19" spans="1:17" ht="28">
      <c r="A19" s="270" t="s">
        <v>824</v>
      </c>
      <c r="B19" s="326" t="s">
        <v>825</v>
      </c>
      <c r="C19" s="326"/>
      <c r="D19" s="326"/>
      <c r="E19" s="326"/>
      <c r="F19" s="326"/>
      <c r="G19" s="326"/>
      <c r="H19" s="326"/>
      <c r="I19" s="326"/>
      <c r="J19" s="326"/>
      <c r="K19" s="175"/>
      <c r="L19" s="175"/>
      <c r="M19" s="175"/>
      <c r="N19" s="1"/>
      <c r="O19" s="1"/>
      <c r="P19" s="98"/>
      <c r="Q19" s="1"/>
    </row>
    <row r="20" spans="1:17" ht="28">
      <c r="A20" s="270" t="s">
        <v>826</v>
      </c>
      <c r="B20" s="322" t="s">
        <v>827</v>
      </c>
      <c r="C20" s="322"/>
      <c r="D20" s="322"/>
      <c r="E20" s="322"/>
      <c r="F20" s="322"/>
      <c r="G20" s="322"/>
      <c r="H20" s="322"/>
      <c r="I20" s="322"/>
      <c r="J20" s="322"/>
      <c r="K20" s="175"/>
      <c r="L20" s="175"/>
      <c r="M20" s="175"/>
      <c r="N20" s="1"/>
      <c r="O20" s="1"/>
      <c r="P20" s="98"/>
      <c r="Q20" s="1"/>
    </row>
    <row r="21" spans="1:17" ht="28">
      <c r="A21" s="270" t="s">
        <v>828</v>
      </c>
      <c r="B21" s="322" t="s">
        <v>829</v>
      </c>
      <c r="C21" s="322"/>
      <c r="D21" s="322"/>
      <c r="E21" s="322"/>
      <c r="F21" s="322"/>
      <c r="G21" s="322"/>
      <c r="H21" s="322"/>
      <c r="I21" s="322"/>
      <c r="J21" s="322"/>
      <c r="K21" s="175"/>
      <c r="L21" s="175"/>
      <c r="M21" s="175"/>
      <c r="N21" s="1"/>
      <c r="O21" s="1"/>
      <c r="P21" s="98"/>
      <c r="Q21" s="1"/>
    </row>
    <row r="22" spans="1:17" ht="28">
      <c r="A22" s="270" t="s">
        <v>830</v>
      </c>
      <c r="B22" s="322" t="s">
        <v>831</v>
      </c>
      <c r="C22" s="322"/>
      <c r="D22" s="322"/>
      <c r="E22" s="322"/>
      <c r="F22" s="322"/>
      <c r="G22" s="322"/>
      <c r="H22" s="322"/>
      <c r="I22" s="322"/>
      <c r="J22" s="322"/>
      <c r="K22" s="175"/>
      <c r="L22" s="175"/>
      <c r="M22" s="175"/>
      <c r="N22" s="1"/>
      <c r="O22" s="1"/>
      <c r="P22" s="98"/>
      <c r="Q22" s="1"/>
    </row>
    <row r="23" spans="1:17" ht="28">
      <c r="A23" s="270" t="s">
        <v>832</v>
      </c>
      <c r="B23" s="322" t="s">
        <v>833</v>
      </c>
      <c r="C23" s="322"/>
      <c r="D23" s="322"/>
      <c r="E23" s="322"/>
      <c r="F23" s="322"/>
      <c r="G23" s="322"/>
      <c r="H23" s="322"/>
      <c r="I23" s="322"/>
      <c r="J23" s="322"/>
      <c r="K23" s="175"/>
      <c r="L23" s="175"/>
      <c r="M23" s="175"/>
      <c r="N23" s="1"/>
      <c r="O23" s="1"/>
      <c r="P23" s="98"/>
      <c r="Q23" s="1"/>
    </row>
    <row r="24" spans="1:17" ht="168">
      <c r="A24" s="270" t="s">
        <v>834</v>
      </c>
      <c r="B24" s="322" t="s">
        <v>835</v>
      </c>
      <c r="C24" s="322"/>
      <c r="D24" s="322"/>
      <c r="E24" s="322"/>
      <c r="F24" s="322"/>
      <c r="G24" s="322"/>
      <c r="H24" s="322"/>
      <c r="I24" s="322"/>
      <c r="J24" s="322"/>
      <c r="K24" s="175"/>
      <c r="L24" s="175"/>
      <c r="M24" s="175"/>
      <c r="N24" s="1"/>
      <c r="O24" s="1"/>
      <c r="P24" s="98"/>
      <c r="Q24" s="1"/>
    </row>
    <row r="25" spans="1:17">
      <c r="A25" s="1"/>
      <c r="B25" s="1"/>
      <c r="C25" s="1"/>
      <c r="D25" s="1"/>
      <c r="E25" s="1"/>
      <c r="F25" s="1"/>
      <c r="G25" s="1"/>
      <c r="H25" s="1"/>
      <c r="I25" s="1"/>
      <c r="J25" s="1"/>
      <c r="K25" s="1"/>
      <c r="L25" s="1"/>
      <c r="M25" s="1"/>
      <c r="N25" s="1"/>
      <c r="O25" s="1"/>
      <c r="P25" s="98"/>
      <c r="Q25" s="1"/>
    </row>
    <row r="26" spans="1:17">
      <c r="A26" s="1"/>
      <c r="B26" s="1"/>
      <c r="C26" s="1"/>
      <c r="D26" s="1"/>
      <c r="E26" s="1"/>
      <c r="F26" s="1"/>
      <c r="G26" s="1"/>
      <c r="H26" s="1"/>
      <c r="I26" s="1"/>
      <c r="J26" s="1"/>
      <c r="K26" s="1"/>
      <c r="L26" s="1"/>
      <c r="M26" s="1"/>
      <c r="N26" s="1"/>
      <c r="O26" s="1"/>
      <c r="P26" s="98"/>
      <c r="Q26" s="1"/>
    </row>
    <row r="27" spans="1:17">
      <c r="A27" s="325" t="s">
        <v>39</v>
      </c>
      <c r="B27" s="325"/>
      <c r="C27" s="190"/>
      <c r="D27" s="190"/>
      <c r="E27" s="190"/>
      <c r="F27" s="190"/>
      <c r="G27" s="190"/>
      <c r="H27" s="190"/>
      <c r="I27" s="190"/>
      <c r="J27" s="190"/>
      <c r="K27" s="1"/>
      <c r="L27" s="1"/>
      <c r="M27" s="1"/>
      <c r="N27" s="1"/>
      <c r="O27" s="1"/>
      <c r="P27" s="98"/>
      <c r="Q27" s="1"/>
    </row>
    <row r="28" spans="1:17">
      <c r="A28" s="269" t="s">
        <v>93</v>
      </c>
      <c r="B28" s="322" t="s">
        <v>836</v>
      </c>
      <c r="C28" s="322"/>
      <c r="D28" s="322"/>
      <c r="E28" s="322"/>
      <c r="F28" s="322"/>
      <c r="G28" s="322"/>
      <c r="H28" s="322"/>
      <c r="I28" s="322"/>
      <c r="J28" s="322"/>
      <c r="K28" s="175"/>
      <c r="L28" s="175"/>
      <c r="M28" s="175"/>
      <c r="N28" s="1"/>
      <c r="O28" s="1"/>
      <c r="P28" s="98"/>
      <c r="Q28" s="1"/>
    </row>
    <row r="29" spans="1:17">
      <c r="A29" s="269" t="s">
        <v>94</v>
      </c>
      <c r="B29" s="322" t="s">
        <v>837</v>
      </c>
      <c r="C29" s="322"/>
      <c r="D29" s="322"/>
      <c r="E29" s="322"/>
      <c r="F29" s="322"/>
      <c r="G29" s="322"/>
      <c r="H29" s="322"/>
      <c r="I29" s="322"/>
      <c r="J29" s="322"/>
      <c r="K29" s="175"/>
      <c r="L29" s="175"/>
      <c r="M29" s="175"/>
      <c r="N29" s="1"/>
      <c r="O29" s="1"/>
      <c r="P29" s="98"/>
      <c r="Q29" s="1"/>
    </row>
    <row r="30" spans="1:17">
      <c r="A30" s="269" t="s">
        <v>49</v>
      </c>
      <c r="B30" s="322" t="s">
        <v>838</v>
      </c>
      <c r="C30" s="322"/>
      <c r="D30" s="322"/>
      <c r="E30" s="322"/>
      <c r="F30" s="322"/>
      <c r="G30" s="322"/>
      <c r="H30" s="322"/>
      <c r="I30" s="322"/>
      <c r="J30" s="322"/>
      <c r="K30" s="175"/>
      <c r="L30" s="175"/>
      <c r="M30" s="175"/>
      <c r="N30" s="1"/>
      <c r="O30" s="1"/>
      <c r="P30" s="98"/>
      <c r="Q30" s="1"/>
    </row>
    <row r="31" spans="1:17">
      <c r="A31" s="269" t="s">
        <v>95</v>
      </c>
      <c r="B31" s="322" t="s">
        <v>839</v>
      </c>
      <c r="C31" s="322"/>
      <c r="D31" s="322"/>
      <c r="E31" s="322"/>
      <c r="F31" s="322"/>
      <c r="G31" s="322"/>
      <c r="H31" s="322"/>
      <c r="I31" s="322"/>
      <c r="J31" s="322"/>
      <c r="K31" s="175"/>
      <c r="L31" s="175"/>
      <c r="M31" s="175"/>
      <c r="N31" s="1"/>
      <c r="O31" s="1"/>
      <c r="P31" s="98"/>
      <c r="Q31" s="1"/>
    </row>
    <row r="32" spans="1:17">
      <c r="A32" s="269" t="s">
        <v>840</v>
      </c>
      <c r="B32" s="322" t="s">
        <v>841</v>
      </c>
      <c r="C32" s="322"/>
      <c r="D32" s="322"/>
      <c r="E32" s="322"/>
      <c r="F32" s="322"/>
      <c r="G32" s="322"/>
      <c r="H32" s="322"/>
      <c r="I32" s="322"/>
      <c r="J32" s="322"/>
      <c r="K32" s="175"/>
      <c r="L32" s="175"/>
      <c r="M32" s="175"/>
      <c r="N32" s="1"/>
      <c r="O32" s="1"/>
      <c r="P32" s="98"/>
      <c r="Q32" s="1"/>
    </row>
    <row r="33" spans="1:17">
      <c r="A33" s="1"/>
      <c r="B33" s="1"/>
      <c r="C33" s="1"/>
      <c r="D33" s="1"/>
      <c r="E33" s="1"/>
      <c r="F33" s="1"/>
      <c r="G33" s="1"/>
      <c r="H33" s="1"/>
      <c r="I33" s="1"/>
      <c r="J33" s="1"/>
      <c r="K33" s="1"/>
      <c r="L33" s="1"/>
      <c r="M33" s="1"/>
      <c r="N33" s="1"/>
      <c r="O33" s="1"/>
      <c r="P33" s="98"/>
      <c r="Q33" s="1"/>
    </row>
    <row r="34" spans="1:17">
      <c r="A34" s="1"/>
      <c r="B34" s="1"/>
      <c r="C34" s="1"/>
      <c r="D34" s="1"/>
      <c r="E34" s="1"/>
      <c r="F34" s="1"/>
      <c r="G34" s="1"/>
      <c r="H34" s="1"/>
      <c r="I34" s="1"/>
      <c r="J34" s="1"/>
      <c r="K34" s="1"/>
      <c r="L34" s="1"/>
      <c r="M34" s="1"/>
      <c r="N34" s="1"/>
      <c r="O34" s="1"/>
      <c r="P34" s="98"/>
      <c r="Q34" s="1"/>
    </row>
    <row r="35" spans="1:17">
      <c r="A35" s="324" t="s">
        <v>40</v>
      </c>
      <c r="B35" s="324"/>
      <c r="C35" s="265"/>
      <c r="D35" s="265"/>
      <c r="E35" s="265"/>
      <c r="F35" s="265"/>
      <c r="G35" s="265"/>
      <c r="H35" s="265"/>
      <c r="I35" s="265"/>
      <c r="J35" s="265"/>
      <c r="K35" s="1"/>
      <c r="L35" s="1"/>
      <c r="M35" s="1"/>
      <c r="N35" s="1"/>
      <c r="O35" s="1"/>
      <c r="P35" s="98"/>
      <c r="Q35" s="1"/>
    </row>
    <row r="36" spans="1:17">
      <c r="A36" s="269" t="s">
        <v>842</v>
      </c>
      <c r="B36" s="322" t="s">
        <v>843</v>
      </c>
      <c r="C36" s="322"/>
      <c r="D36" s="322"/>
      <c r="E36" s="322"/>
      <c r="F36" s="322"/>
      <c r="G36" s="322"/>
      <c r="H36" s="322"/>
      <c r="I36" s="322"/>
      <c r="J36" s="322"/>
      <c r="K36" s="175"/>
      <c r="L36" s="175"/>
      <c r="M36" s="175"/>
      <c r="N36" s="1"/>
      <c r="O36" s="1"/>
      <c r="P36" s="98"/>
      <c r="Q36" s="1"/>
    </row>
    <row r="37" spans="1:17" ht="28">
      <c r="A37" s="269" t="s">
        <v>844</v>
      </c>
      <c r="B37" s="322" t="s">
        <v>845</v>
      </c>
      <c r="C37" s="322"/>
      <c r="D37" s="322"/>
      <c r="E37" s="322"/>
      <c r="F37" s="322"/>
      <c r="G37" s="322"/>
      <c r="H37" s="322"/>
      <c r="I37" s="322"/>
      <c r="J37" s="322"/>
      <c r="K37" s="175"/>
      <c r="L37" s="175"/>
      <c r="M37" s="175"/>
      <c r="N37" s="1"/>
      <c r="O37" s="1"/>
      <c r="P37" s="98"/>
      <c r="Q37" s="1"/>
    </row>
    <row r="38" spans="1:17">
      <c r="A38" s="269" t="s">
        <v>109</v>
      </c>
      <c r="B38" s="322" t="s">
        <v>846</v>
      </c>
      <c r="C38" s="322"/>
      <c r="D38" s="322"/>
      <c r="E38" s="322"/>
      <c r="F38" s="322"/>
      <c r="G38" s="322"/>
      <c r="H38" s="322"/>
      <c r="I38" s="322"/>
      <c r="J38" s="322"/>
      <c r="K38" s="175"/>
      <c r="L38" s="175"/>
      <c r="M38" s="175"/>
      <c r="N38" s="1"/>
      <c r="O38" s="1"/>
      <c r="P38" s="98"/>
      <c r="Q38" s="1"/>
    </row>
    <row r="39" spans="1:17">
      <c r="A39" s="269" t="s">
        <v>112</v>
      </c>
      <c r="B39" s="322" t="s">
        <v>847</v>
      </c>
      <c r="C39" s="322"/>
      <c r="D39" s="322"/>
      <c r="E39" s="322"/>
      <c r="F39" s="322"/>
      <c r="G39" s="322"/>
      <c r="H39" s="322"/>
      <c r="I39" s="322"/>
      <c r="J39" s="322"/>
      <c r="K39" s="175"/>
      <c r="L39" s="175"/>
      <c r="M39" s="175"/>
      <c r="N39" s="1"/>
      <c r="O39" s="1"/>
      <c r="P39" s="98"/>
      <c r="Q39" s="1"/>
    </row>
    <row r="40" spans="1:17" ht="28">
      <c r="A40" s="269" t="s">
        <v>848</v>
      </c>
      <c r="B40" s="322" t="s">
        <v>849</v>
      </c>
      <c r="C40" s="322"/>
      <c r="D40" s="322"/>
      <c r="E40" s="322"/>
      <c r="F40" s="322"/>
      <c r="G40" s="322"/>
      <c r="H40" s="322"/>
      <c r="I40" s="322"/>
      <c r="J40" s="322"/>
      <c r="K40" s="175"/>
      <c r="L40" s="175"/>
      <c r="M40" s="175"/>
      <c r="N40" s="1"/>
      <c r="O40" s="1"/>
      <c r="P40" s="98"/>
      <c r="Q40" s="1"/>
    </row>
    <row r="41" spans="1:17">
      <c r="A41" s="1"/>
      <c r="B41" s="1"/>
      <c r="C41" s="1"/>
      <c r="D41" s="1"/>
      <c r="E41" s="1"/>
      <c r="F41" s="1"/>
      <c r="G41" s="1"/>
      <c r="H41" s="1"/>
      <c r="I41" s="1"/>
      <c r="J41" s="1"/>
      <c r="K41" s="1"/>
      <c r="L41" s="1"/>
      <c r="M41" s="1"/>
      <c r="N41" s="1"/>
      <c r="O41" s="1"/>
      <c r="P41" s="98"/>
      <c r="Q41" s="1"/>
    </row>
    <row r="42" spans="1:17">
      <c r="A42" s="1"/>
      <c r="B42" s="1"/>
      <c r="C42" s="1"/>
      <c r="D42" s="1"/>
      <c r="E42" s="1"/>
      <c r="F42" s="1"/>
      <c r="G42" s="1"/>
      <c r="H42" s="1"/>
      <c r="I42" s="1"/>
      <c r="J42" s="1"/>
      <c r="K42" s="1"/>
      <c r="L42" s="1"/>
      <c r="M42" s="1"/>
      <c r="N42" s="1"/>
      <c r="O42" s="1"/>
      <c r="P42" s="98"/>
      <c r="Q42" s="1"/>
    </row>
    <row r="43" spans="1:17">
      <c r="A43" s="323" t="s">
        <v>666</v>
      </c>
      <c r="B43" s="323"/>
      <c r="C43" s="266"/>
      <c r="D43" s="266"/>
      <c r="E43" s="266"/>
      <c r="F43" s="266"/>
      <c r="G43" s="266"/>
      <c r="H43" s="266"/>
      <c r="I43" s="266"/>
      <c r="J43" s="266"/>
      <c r="K43" s="1"/>
      <c r="L43" s="1"/>
      <c r="M43" s="1"/>
      <c r="N43" s="1"/>
      <c r="O43" s="1"/>
      <c r="P43" s="98"/>
      <c r="Q43" s="1"/>
    </row>
    <row r="44" spans="1:17">
      <c r="A44" s="269" t="s">
        <v>117</v>
      </c>
      <c r="B44" s="322" t="s">
        <v>850</v>
      </c>
      <c r="C44" s="322"/>
      <c r="D44" s="322"/>
      <c r="E44" s="322"/>
      <c r="F44" s="322"/>
      <c r="G44" s="322"/>
      <c r="H44" s="322"/>
      <c r="I44" s="322"/>
      <c r="J44" s="322"/>
      <c r="K44" s="175"/>
      <c r="L44" s="175"/>
      <c r="M44" s="175"/>
      <c r="N44" s="1"/>
      <c r="O44" s="1"/>
      <c r="P44" s="98"/>
      <c r="Q44" s="1"/>
    </row>
    <row r="45" spans="1:17" ht="28">
      <c r="A45" s="269" t="s">
        <v>851</v>
      </c>
      <c r="B45" s="322" t="s">
        <v>845</v>
      </c>
      <c r="C45" s="322"/>
      <c r="D45" s="322"/>
      <c r="E45" s="322"/>
      <c r="F45" s="322"/>
      <c r="G45" s="322"/>
      <c r="H45" s="322"/>
      <c r="I45" s="322"/>
      <c r="J45" s="322"/>
      <c r="K45" s="175"/>
      <c r="L45" s="175"/>
      <c r="M45" s="175"/>
      <c r="N45" s="1"/>
      <c r="O45" s="1"/>
      <c r="P45" s="98"/>
      <c r="Q45" s="1"/>
    </row>
    <row r="46" spans="1:17">
      <c r="A46" s="269" t="s">
        <v>119</v>
      </c>
      <c r="B46" s="322" t="s">
        <v>852</v>
      </c>
      <c r="C46" s="322"/>
      <c r="D46" s="322"/>
      <c r="E46" s="322"/>
      <c r="F46" s="322"/>
      <c r="G46" s="322"/>
      <c r="H46" s="322"/>
      <c r="I46" s="322"/>
      <c r="J46" s="322"/>
      <c r="K46" s="175"/>
      <c r="L46" s="175"/>
      <c r="M46" s="175"/>
      <c r="N46" s="1"/>
      <c r="O46" s="1"/>
      <c r="P46" s="98"/>
      <c r="Q46" s="1"/>
    </row>
    <row r="47" spans="1:17">
      <c r="A47" s="1"/>
      <c r="B47" s="1"/>
      <c r="C47" s="1"/>
      <c r="D47" s="1"/>
      <c r="E47" s="1"/>
      <c r="F47" s="1"/>
      <c r="G47" s="1"/>
      <c r="H47" s="1"/>
      <c r="I47" s="1"/>
      <c r="J47" s="1"/>
      <c r="K47" s="1"/>
      <c r="L47" s="1"/>
      <c r="M47" s="1"/>
      <c r="N47" s="1"/>
      <c r="O47" s="1"/>
      <c r="P47" s="98"/>
      <c r="Q47" s="1"/>
    </row>
    <row r="48" spans="1:17">
      <c r="A48" s="1"/>
      <c r="B48" s="1"/>
      <c r="C48" s="1"/>
      <c r="D48" s="1"/>
      <c r="E48" s="1"/>
      <c r="F48" s="1"/>
      <c r="G48" s="1"/>
      <c r="H48" s="1"/>
      <c r="I48" s="1"/>
      <c r="J48" s="1"/>
      <c r="K48" s="1"/>
      <c r="L48" s="1"/>
      <c r="M48" s="1"/>
      <c r="N48" s="1"/>
      <c r="O48" s="1"/>
      <c r="P48" s="98"/>
      <c r="Q48" s="1"/>
    </row>
    <row r="49" spans="1:17">
      <c r="A49" s="267" t="s">
        <v>853</v>
      </c>
      <c r="B49" s="268"/>
      <c r="C49" s="268"/>
      <c r="D49" s="268"/>
      <c r="E49" s="268"/>
      <c r="F49" s="268"/>
      <c r="G49" s="268"/>
      <c r="H49" s="268"/>
      <c r="I49" s="268"/>
      <c r="J49" s="268"/>
      <c r="K49" s="1"/>
      <c r="L49" s="1"/>
      <c r="M49" s="1"/>
      <c r="N49" s="1"/>
      <c r="O49" s="1"/>
      <c r="P49" s="98"/>
      <c r="Q49" s="1"/>
    </row>
    <row r="50" spans="1:17">
      <c r="A50" s="269" t="s">
        <v>854</v>
      </c>
      <c r="B50" s="322" t="s">
        <v>855</v>
      </c>
      <c r="C50" s="322"/>
      <c r="D50" s="322"/>
      <c r="E50" s="322"/>
      <c r="F50" s="322"/>
      <c r="G50" s="322"/>
      <c r="H50" s="322"/>
      <c r="I50" s="322"/>
      <c r="J50" s="322"/>
      <c r="K50" s="175"/>
      <c r="L50" s="175"/>
      <c r="M50" s="175"/>
      <c r="N50" s="1"/>
      <c r="O50" s="1"/>
      <c r="P50" s="98"/>
      <c r="Q50" s="1"/>
    </row>
    <row r="51" spans="1:17">
      <c r="A51" s="269" t="s">
        <v>856</v>
      </c>
      <c r="B51" s="322" t="s">
        <v>857</v>
      </c>
      <c r="C51" s="322"/>
      <c r="D51" s="322"/>
      <c r="E51" s="322"/>
      <c r="F51" s="322"/>
      <c r="G51" s="322"/>
      <c r="H51" s="322"/>
      <c r="I51" s="322"/>
      <c r="J51" s="322"/>
      <c r="K51" s="175"/>
      <c r="L51" s="175"/>
      <c r="M51" s="175"/>
      <c r="N51" s="1"/>
      <c r="O51" s="1"/>
      <c r="P51" s="98"/>
      <c r="Q51" s="1"/>
    </row>
    <row r="52" spans="1:17">
      <c r="A52" s="269" t="s">
        <v>141</v>
      </c>
      <c r="B52" s="322" t="s">
        <v>858</v>
      </c>
      <c r="C52" s="322"/>
      <c r="D52" s="322"/>
      <c r="E52" s="322"/>
      <c r="F52" s="322"/>
      <c r="G52" s="322"/>
      <c r="H52" s="322"/>
      <c r="I52" s="322"/>
      <c r="J52" s="322"/>
      <c r="K52" s="175"/>
      <c r="L52" s="175"/>
      <c r="M52" s="175"/>
      <c r="N52" s="1"/>
      <c r="O52" s="1"/>
      <c r="P52" s="98"/>
      <c r="Q52" s="1"/>
    </row>
    <row r="53" spans="1:17">
      <c r="A53" s="269" t="s">
        <v>859</v>
      </c>
      <c r="B53" s="322" t="s">
        <v>860</v>
      </c>
      <c r="C53" s="322"/>
      <c r="D53" s="322"/>
      <c r="E53" s="322"/>
      <c r="F53" s="322"/>
      <c r="G53" s="322"/>
      <c r="H53" s="322"/>
      <c r="I53" s="322"/>
      <c r="J53" s="322"/>
      <c r="K53" s="175"/>
      <c r="L53" s="175"/>
      <c r="M53" s="175"/>
      <c r="N53" s="1"/>
      <c r="O53" s="1"/>
      <c r="P53" s="98"/>
      <c r="Q53" s="1"/>
    </row>
  </sheetData>
  <mergeCells count="39">
    <mergeCell ref="B1:J1"/>
    <mergeCell ref="A3:B3"/>
    <mergeCell ref="B4:J4"/>
    <mergeCell ref="B5:J5"/>
    <mergeCell ref="B6:J6"/>
    <mergeCell ref="B7:J7"/>
    <mergeCell ref="A10:B10"/>
    <mergeCell ref="B11:J11"/>
    <mergeCell ref="A14:B14"/>
    <mergeCell ref="B15:J15"/>
    <mergeCell ref="B16:J16"/>
    <mergeCell ref="B17:J17"/>
    <mergeCell ref="B18:J18"/>
    <mergeCell ref="B19:J19"/>
    <mergeCell ref="B20:J20"/>
    <mergeCell ref="B21:J21"/>
    <mergeCell ref="B22:J22"/>
    <mergeCell ref="B23:J23"/>
    <mergeCell ref="B24:J24"/>
    <mergeCell ref="A27:B27"/>
    <mergeCell ref="B28:J28"/>
    <mergeCell ref="B29:J29"/>
    <mergeCell ref="B30:J30"/>
    <mergeCell ref="B31:J31"/>
    <mergeCell ref="B32:J32"/>
    <mergeCell ref="A35:B35"/>
    <mergeCell ref="B36:J36"/>
    <mergeCell ref="B37:J37"/>
    <mergeCell ref="B38:J38"/>
    <mergeCell ref="B39:J39"/>
    <mergeCell ref="B50:J50"/>
    <mergeCell ref="B51:J51"/>
    <mergeCell ref="B52:J52"/>
    <mergeCell ref="B53:J53"/>
    <mergeCell ref="B40:J40"/>
    <mergeCell ref="A43:B43"/>
    <mergeCell ref="B44:J44"/>
    <mergeCell ref="B45:J45"/>
    <mergeCell ref="B46:J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0"/>
  <sheetViews>
    <sheetView workbookViewId="0"/>
  </sheetViews>
  <sheetFormatPr baseColWidth="10" defaultRowHeight="14"/>
  <cols>
    <col min="1" max="2" width="35.5" customWidth="1"/>
    <col min="3" max="3" width="15.5" customWidth="1"/>
    <col min="4" max="4" width="15.33203125" customWidth="1"/>
    <col min="5" max="5" width="12" customWidth="1"/>
    <col min="6" max="6" width="13.33203125" customWidth="1"/>
    <col min="7" max="8" width="15.5" customWidth="1"/>
    <col min="9" max="9" width="20.33203125" customWidth="1"/>
    <col min="10" max="10" width="12.33203125" customWidth="1"/>
    <col min="11" max="18" width="9" customWidth="1"/>
    <col min="19" max="20" width="21.6640625" customWidth="1"/>
    <col min="21" max="22" width="8" customWidth="1"/>
    <col min="23" max="28" width="9" customWidth="1"/>
  </cols>
  <sheetData>
    <row r="1" spans="1:28">
      <c r="A1" s="186" t="s">
        <v>48</v>
      </c>
      <c r="B1" s="186" t="s">
        <v>49</v>
      </c>
      <c r="C1" s="186" t="s">
        <v>531</v>
      </c>
      <c r="D1" s="186" t="s">
        <v>532</v>
      </c>
      <c r="E1" s="186" t="s">
        <v>533</v>
      </c>
      <c r="F1" s="186" t="s">
        <v>534</v>
      </c>
      <c r="G1" s="186" t="s">
        <v>535</v>
      </c>
      <c r="H1" s="186" t="s">
        <v>536</v>
      </c>
      <c r="I1" s="186" t="s">
        <v>537</v>
      </c>
      <c r="J1" s="186" t="s">
        <v>118</v>
      </c>
      <c r="K1" s="1"/>
      <c r="L1" s="1">
        <v>1</v>
      </c>
      <c r="M1" s="187">
        <v>0</v>
      </c>
      <c r="N1" s="187">
        <v>0</v>
      </c>
      <c r="O1" s="1"/>
      <c r="P1" s="1"/>
      <c r="Q1" s="1"/>
      <c r="R1" s="1"/>
      <c r="S1" s="1"/>
      <c r="T1" s="1"/>
      <c r="U1" s="1"/>
      <c r="V1" s="1"/>
      <c r="W1" s="1"/>
      <c r="X1" s="1"/>
      <c r="Y1" s="1"/>
      <c r="Z1" s="1"/>
      <c r="AA1" s="98"/>
      <c r="AB1" s="1"/>
    </row>
    <row r="2" spans="1:28">
      <c r="A2" s="1" t="s">
        <v>150</v>
      </c>
      <c r="B2" s="1" t="s">
        <v>170</v>
      </c>
      <c r="C2" s="1" t="s">
        <v>538</v>
      </c>
      <c r="D2" s="1">
        <v>1</v>
      </c>
      <c r="E2" s="188">
        <v>20000</v>
      </c>
      <c r="F2" s="188">
        <v>26000</v>
      </c>
      <c r="G2" s="188">
        <v>31200</v>
      </c>
      <c r="H2" s="188" t="s">
        <v>159</v>
      </c>
      <c r="I2" s="189">
        <f t="shared" ref="I2:I33" si="0">VLOOKUP(D2,$L$1:$M$7,2,FALSE)</f>
        <v>0</v>
      </c>
      <c r="J2" s="187">
        <f t="shared" ref="J2:J33" si="1">VLOOKUP(D2,$L$1:$N$7,3,FALSE)</f>
        <v>0</v>
      </c>
      <c r="K2" s="1"/>
      <c r="L2" s="1">
        <v>2</v>
      </c>
      <c r="M2" s="187">
        <v>0</v>
      </c>
      <c r="N2" s="187">
        <v>0</v>
      </c>
      <c r="O2" s="1"/>
      <c r="P2" s="1"/>
      <c r="Q2" s="1"/>
      <c r="R2" s="1"/>
      <c r="S2" s="1"/>
      <c r="T2" s="1"/>
      <c r="U2" s="1"/>
      <c r="V2" s="1"/>
      <c r="W2" s="1"/>
      <c r="X2" s="1"/>
      <c r="Y2" s="1"/>
      <c r="Z2" s="1"/>
      <c r="AA2" s="98"/>
      <c r="AB2" s="1"/>
    </row>
    <row r="3" spans="1:28">
      <c r="A3" s="1" t="s">
        <v>150</v>
      </c>
      <c r="B3" s="1" t="s">
        <v>261</v>
      </c>
      <c r="C3" s="1" t="s">
        <v>539</v>
      </c>
      <c r="D3" s="1">
        <v>2</v>
      </c>
      <c r="E3" s="188">
        <v>23000</v>
      </c>
      <c r="F3" s="188">
        <v>29900</v>
      </c>
      <c r="G3" s="188">
        <v>35880</v>
      </c>
      <c r="H3" s="188" t="s">
        <v>159</v>
      </c>
      <c r="I3" s="189">
        <f t="shared" si="0"/>
        <v>0</v>
      </c>
      <c r="J3" s="187">
        <f t="shared" si="1"/>
        <v>0</v>
      </c>
      <c r="K3" s="1"/>
      <c r="L3" s="1">
        <v>3</v>
      </c>
      <c r="M3" s="187">
        <v>0.05</v>
      </c>
      <c r="N3" s="187">
        <v>0</v>
      </c>
      <c r="O3" s="1"/>
      <c r="P3" s="1"/>
      <c r="Q3" s="1"/>
      <c r="R3" s="1"/>
      <c r="S3" s="1"/>
      <c r="T3" s="1"/>
      <c r="U3" s="1"/>
      <c r="V3" s="1"/>
      <c r="W3" s="1"/>
      <c r="X3" s="1"/>
      <c r="Y3" s="1"/>
      <c r="Z3" s="1"/>
      <c r="AA3" s="98"/>
      <c r="AB3" s="1"/>
    </row>
    <row r="4" spans="1:28">
      <c r="A4" s="1" t="s">
        <v>150</v>
      </c>
      <c r="B4" s="1" t="s">
        <v>263</v>
      </c>
      <c r="C4" s="1" t="s">
        <v>540</v>
      </c>
      <c r="D4" s="1">
        <v>2</v>
      </c>
      <c r="E4" s="188">
        <v>23000</v>
      </c>
      <c r="F4" s="188">
        <v>29900</v>
      </c>
      <c r="G4" s="188">
        <v>35880</v>
      </c>
      <c r="H4" s="188" t="s">
        <v>159</v>
      </c>
      <c r="I4" s="189">
        <f t="shared" si="0"/>
        <v>0</v>
      </c>
      <c r="J4" s="187">
        <f t="shared" si="1"/>
        <v>0</v>
      </c>
      <c r="K4" s="1"/>
      <c r="L4" s="1">
        <v>4</v>
      </c>
      <c r="M4" s="187">
        <v>0.05</v>
      </c>
      <c r="N4" s="187">
        <v>0</v>
      </c>
      <c r="O4" s="1"/>
      <c r="P4" s="1"/>
      <c r="Q4" s="1"/>
      <c r="R4" s="1"/>
      <c r="S4" s="1"/>
      <c r="T4" s="1"/>
      <c r="U4" s="1"/>
      <c r="V4" s="1"/>
      <c r="W4" s="1"/>
      <c r="X4" s="1"/>
      <c r="Y4" s="1"/>
      <c r="Z4" s="1"/>
      <c r="AA4" s="98"/>
      <c r="AB4" s="1"/>
    </row>
    <row r="5" spans="1:28">
      <c r="A5" s="1" t="s">
        <v>150</v>
      </c>
      <c r="B5" s="1" t="s">
        <v>176</v>
      </c>
      <c r="C5" s="1" t="s">
        <v>541</v>
      </c>
      <c r="D5" s="1">
        <v>3</v>
      </c>
      <c r="E5" s="188">
        <v>26500</v>
      </c>
      <c r="F5" s="188">
        <v>34450</v>
      </c>
      <c r="G5" s="188">
        <v>41340</v>
      </c>
      <c r="H5" s="188" t="s">
        <v>157</v>
      </c>
      <c r="I5" s="189">
        <f t="shared" si="0"/>
        <v>0.05</v>
      </c>
      <c r="J5" s="187">
        <f t="shared" si="1"/>
        <v>0</v>
      </c>
      <c r="K5" s="1"/>
      <c r="L5" s="1">
        <v>5</v>
      </c>
      <c r="M5" s="187">
        <v>0.1</v>
      </c>
      <c r="N5" s="187">
        <v>0.05</v>
      </c>
      <c r="O5" s="1"/>
      <c r="P5" s="1"/>
      <c r="Q5" s="1"/>
      <c r="R5" s="1"/>
      <c r="S5" s="1"/>
      <c r="T5" s="1"/>
      <c r="U5" s="1"/>
      <c r="V5" s="1"/>
      <c r="W5" s="1"/>
      <c r="X5" s="1"/>
      <c r="Y5" s="1"/>
      <c r="Z5" s="1"/>
      <c r="AA5" s="98"/>
      <c r="AB5" s="1"/>
    </row>
    <row r="6" spans="1:28">
      <c r="A6" s="1" t="s">
        <v>150</v>
      </c>
      <c r="B6" s="1" t="s">
        <v>151</v>
      </c>
      <c r="C6" s="1" t="s">
        <v>542</v>
      </c>
      <c r="D6" s="1">
        <v>4</v>
      </c>
      <c r="E6" s="188">
        <v>27000</v>
      </c>
      <c r="F6" s="188">
        <v>35100</v>
      </c>
      <c r="G6" s="188">
        <v>42120</v>
      </c>
      <c r="H6" s="188" t="str">
        <f t="shared" ref="H6:H37" si="2">IF(OR(D6=3,D6&gt;3),"Yes","No")</f>
        <v>Yes</v>
      </c>
      <c r="I6" s="189">
        <f t="shared" si="0"/>
        <v>0.05</v>
      </c>
      <c r="J6" s="187">
        <f t="shared" si="1"/>
        <v>0</v>
      </c>
      <c r="K6" s="1"/>
      <c r="L6" s="1">
        <v>6</v>
      </c>
      <c r="M6" s="187">
        <v>0.1</v>
      </c>
      <c r="N6" s="187">
        <v>0.1</v>
      </c>
      <c r="O6" s="1"/>
      <c r="P6" s="1"/>
      <c r="Q6" s="1"/>
      <c r="R6" s="1"/>
      <c r="S6" s="1"/>
      <c r="T6" s="1"/>
      <c r="U6" s="1"/>
      <c r="V6" s="1"/>
      <c r="W6" s="1"/>
      <c r="X6" s="1"/>
      <c r="Y6" s="1"/>
      <c r="Z6" s="1"/>
      <c r="AA6" s="98"/>
      <c r="AB6" s="1"/>
    </row>
    <row r="7" spans="1:28">
      <c r="A7" s="1" t="s">
        <v>150</v>
      </c>
      <c r="B7" s="1" t="s">
        <v>205</v>
      </c>
      <c r="C7" s="1" t="s">
        <v>543</v>
      </c>
      <c r="D7" s="1">
        <v>5</v>
      </c>
      <c r="E7" s="188">
        <v>29000</v>
      </c>
      <c r="F7" s="188">
        <v>37700</v>
      </c>
      <c r="G7" s="188">
        <v>45240</v>
      </c>
      <c r="H7" s="188" t="str">
        <f t="shared" si="2"/>
        <v>Yes</v>
      </c>
      <c r="I7" s="189">
        <f t="shared" si="0"/>
        <v>0.1</v>
      </c>
      <c r="J7" s="187">
        <f t="shared" si="1"/>
        <v>0.05</v>
      </c>
      <c r="K7" s="1"/>
      <c r="L7" s="1">
        <v>7</v>
      </c>
      <c r="M7" s="187">
        <v>0.15</v>
      </c>
      <c r="N7" s="187">
        <v>0.15</v>
      </c>
      <c r="O7" s="1"/>
      <c r="P7" s="1"/>
      <c r="Q7" s="1"/>
      <c r="R7" s="1"/>
      <c r="S7" s="1"/>
      <c r="T7" s="1"/>
      <c r="U7" s="1"/>
      <c r="V7" s="1"/>
      <c r="W7" s="1"/>
      <c r="X7" s="1"/>
      <c r="Y7" s="1"/>
      <c r="Z7" s="1"/>
      <c r="AA7" s="98"/>
      <c r="AB7" s="1"/>
    </row>
    <row r="8" spans="1:28">
      <c r="A8" s="1" t="s">
        <v>150</v>
      </c>
      <c r="B8" s="1" t="s">
        <v>281</v>
      </c>
      <c r="C8" s="1" t="s">
        <v>544</v>
      </c>
      <c r="D8" s="1">
        <v>1</v>
      </c>
      <c r="E8" s="188">
        <v>20000</v>
      </c>
      <c r="F8" s="188">
        <v>26000</v>
      </c>
      <c r="G8" s="188">
        <v>31200</v>
      </c>
      <c r="H8" s="188" t="str">
        <f t="shared" si="2"/>
        <v>No</v>
      </c>
      <c r="I8" s="189">
        <f t="shared" si="0"/>
        <v>0</v>
      </c>
      <c r="J8" s="187">
        <f t="shared" si="1"/>
        <v>0</v>
      </c>
      <c r="K8" s="1"/>
      <c r="L8" s="1"/>
      <c r="M8" s="1"/>
      <c r="N8" s="1"/>
      <c r="O8" s="1"/>
      <c r="P8" s="1"/>
      <c r="Q8" s="1"/>
      <c r="R8" s="1"/>
      <c r="S8" s="1"/>
      <c r="T8" s="1"/>
      <c r="U8" s="1"/>
      <c r="V8" s="1"/>
      <c r="W8" s="1"/>
      <c r="X8" s="1"/>
      <c r="Y8" s="1"/>
      <c r="Z8" s="1"/>
      <c r="AA8" s="98"/>
      <c r="AB8" s="1"/>
    </row>
    <row r="9" spans="1:28">
      <c r="A9" s="1" t="s">
        <v>150</v>
      </c>
      <c r="B9" s="1" t="s">
        <v>182</v>
      </c>
      <c r="C9" s="1" t="s">
        <v>545</v>
      </c>
      <c r="D9" s="1">
        <v>2</v>
      </c>
      <c r="E9" s="188">
        <v>23000</v>
      </c>
      <c r="F9" s="188">
        <v>29900</v>
      </c>
      <c r="G9" s="188">
        <v>35880</v>
      </c>
      <c r="H9" s="188" t="str">
        <f t="shared" si="2"/>
        <v>No</v>
      </c>
      <c r="I9" s="189">
        <f t="shared" si="0"/>
        <v>0</v>
      </c>
      <c r="J9" s="187">
        <f t="shared" si="1"/>
        <v>0</v>
      </c>
      <c r="K9" s="1"/>
      <c r="L9" s="1"/>
      <c r="M9" s="188"/>
      <c r="N9" s="188"/>
      <c r="O9" s="188"/>
      <c r="P9" s="1"/>
      <c r="Q9" s="1"/>
      <c r="R9" s="1"/>
      <c r="S9" s="1"/>
      <c r="T9" s="1"/>
      <c r="U9" s="1"/>
      <c r="V9" s="1"/>
      <c r="W9" s="1"/>
      <c r="X9" s="1"/>
      <c r="Y9" s="1"/>
      <c r="Z9" s="1"/>
      <c r="AA9" s="98"/>
      <c r="AB9" s="1"/>
    </row>
    <row r="10" spans="1:28">
      <c r="A10" s="1" t="s">
        <v>150</v>
      </c>
      <c r="B10" s="1" t="s">
        <v>184</v>
      </c>
      <c r="C10" s="1" t="s">
        <v>546</v>
      </c>
      <c r="D10" s="1">
        <v>3</v>
      </c>
      <c r="E10" s="188">
        <v>26500</v>
      </c>
      <c r="F10" s="188">
        <v>34450</v>
      </c>
      <c r="G10" s="188">
        <v>41340</v>
      </c>
      <c r="H10" s="188" t="str">
        <f t="shared" si="2"/>
        <v>Yes</v>
      </c>
      <c r="I10" s="189">
        <f t="shared" si="0"/>
        <v>0.05</v>
      </c>
      <c r="J10" s="187">
        <f t="shared" si="1"/>
        <v>0</v>
      </c>
      <c r="K10" s="1"/>
      <c r="L10" s="1"/>
      <c r="M10" s="188"/>
      <c r="N10" s="188"/>
      <c r="O10" s="188"/>
      <c r="P10" s="1"/>
      <c r="Q10" s="1"/>
      <c r="R10" s="1"/>
      <c r="S10" s="1"/>
      <c r="T10" s="1"/>
      <c r="U10" s="1"/>
      <c r="V10" s="1"/>
      <c r="W10" s="1"/>
      <c r="X10" s="1"/>
      <c r="Y10" s="1"/>
      <c r="Z10" s="1"/>
      <c r="AA10" s="98"/>
      <c r="AB10" s="1"/>
    </row>
    <row r="11" spans="1:28">
      <c r="A11" s="1" t="s">
        <v>150</v>
      </c>
      <c r="B11" s="1" t="s">
        <v>186</v>
      </c>
      <c r="C11" s="1" t="s">
        <v>547</v>
      </c>
      <c r="D11" s="1">
        <v>3</v>
      </c>
      <c r="E11" s="188">
        <v>26500</v>
      </c>
      <c r="F11" s="188">
        <v>34450</v>
      </c>
      <c r="G11" s="188">
        <v>41340</v>
      </c>
      <c r="H11" s="188" t="str">
        <f t="shared" si="2"/>
        <v>Yes</v>
      </c>
      <c r="I11" s="189">
        <f t="shared" si="0"/>
        <v>0.05</v>
      </c>
      <c r="J11" s="187">
        <f t="shared" si="1"/>
        <v>0</v>
      </c>
      <c r="K11" s="1"/>
      <c r="L11" s="1"/>
      <c r="M11" s="188"/>
      <c r="N11" s="188"/>
      <c r="O11" s="188"/>
      <c r="P11" s="1"/>
      <c r="Q11" s="1"/>
      <c r="R11" s="1"/>
      <c r="S11" s="1"/>
      <c r="T11" s="1"/>
      <c r="U11" s="1"/>
      <c r="V11" s="1"/>
      <c r="W11" s="1"/>
      <c r="X11" s="1"/>
      <c r="Y11" s="1"/>
      <c r="Z11" s="1"/>
      <c r="AA11" s="98"/>
      <c r="AB11" s="1"/>
    </row>
    <row r="12" spans="1:28">
      <c r="A12" s="1" t="s">
        <v>173</v>
      </c>
      <c r="B12" s="1" t="s">
        <v>279</v>
      </c>
      <c r="C12" s="1" t="s">
        <v>548</v>
      </c>
      <c r="D12" s="1">
        <v>2</v>
      </c>
      <c r="E12" s="188">
        <v>23000</v>
      </c>
      <c r="F12" s="188">
        <v>29900</v>
      </c>
      <c r="G12" s="188">
        <v>35880</v>
      </c>
      <c r="H12" s="188" t="str">
        <f t="shared" si="2"/>
        <v>No</v>
      </c>
      <c r="I12" s="189">
        <f t="shared" si="0"/>
        <v>0</v>
      </c>
      <c r="J12" s="187">
        <f t="shared" si="1"/>
        <v>0</v>
      </c>
      <c r="K12" s="1"/>
      <c r="L12" s="1"/>
      <c r="M12" s="188"/>
      <c r="N12" s="188"/>
      <c r="O12" s="188"/>
      <c r="P12" s="1"/>
      <c r="Q12" s="1"/>
      <c r="R12" s="1"/>
      <c r="S12" s="1"/>
      <c r="T12" s="1"/>
      <c r="U12" s="1"/>
      <c r="V12" s="1"/>
      <c r="W12" s="1"/>
      <c r="X12" s="1"/>
      <c r="Y12" s="1"/>
      <c r="Z12" s="1"/>
      <c r="AA12" s="98"/>
      <c r="AB12" s="1"/>
    </row>
    <row r="13" spans="1:28">
      <c r="A13" s="1" t="s">
        <v>173</v>
      </c>
      <c r="B13" s="1" t="s">
        <v>188</v>
      </c>
      <c r="C13" s="1" t="s">
        <v>549</v>
      </c>
      <c r="D13" s="1">
        <v>3</v>
      </c>
      <c r="E13" s="188">
        <v>26500</v>
      </c>
      <c r="F13" s="188">
        <v>34450</v>
      </c>
      <c r="G13" s="188">
        <v>41340</v>
      </c>
      <c r="H13" s="188" t="str">
        <f t="shared" si="2"/>
        <v>Yes</v>
      </c>
      <c r="I13" s="189">
        <f t="shared" si="0"/>
        <v>0.05</v>
      </c>
      <c r="J13" s="187">
        <f t="shared" si="1"/>
        <v>0</v>
      </c>
      <c r="K13" s="1"/>
      <c r="L13" s="1"/>
      <c r="M13" s="188"/>
      <c r="N13" s="188"/>
      <c r="O13" s="188"/>
      <c r="P13" s="1"/>
      <c r="Q13" s="1"/>
      <c r="R13" s="1"/>
      <c r="S13" s="1"/>
      <c r="T13" s="1"/>
      <c r="U13" s="1"/>
      <c r="V13" s="1"/>
      <c r="W13" s="1"/>
      <c r="X13" s="1"/>
      <c r="Y13" s="1"/>
      <c r="Z13" s="1"/>
      <c r="AA13" s="98"/>
      <c r="AB13" s="1"/>
    </row>
    <row r="14" spans="1:28">
      <c r="A14" s="1" t="s">
        <v>173</v>
      </c>
      <c r="B14" s="1" t="s">
        <v>190</v>
      </c>
      <c r="C14" s="1" t="s">
        <v>550</v>
      </c>
      <c r="D14" s="1">
        <v>6</v>
      </c>
      <c r="E14" s="188">
        <v>33000</v>
      </c>
      <c r="F14" s="188">
        <v>42900</v>
      </c>
      <c r="G14" s="188">
        <v>51480</v>
      </c>
      <c r="H14" s="188" t="str">
        <f t="shared" si="2"/>
        <v>Yes</v>
      </c>
      <c r="I14" s="189">
        <f t="shared" si="0"/>
        <v>0.1</v>
      </c>
      <c r="J14" s="187">
        <f t="shared" si="1"/>
        <v>0.1</v>
      </c>
      <c r="K14" s="1"/>
      <c r="L14" s="1"/>
      <c r="M14" s="188"/>
      <c r="N14" s="188"/>
      <c r="O14" s="188"/>
      <c r="P14" s="1"/>
      <c r="Q14" s="1"/>
      <c r="R14" s="1"/>
      <c r="S14" s="1"/>
      <c r="T14" s="1"/>
      <c r="U14" s="1"/>
      <c r="V14" s="1"/>
      <c r="W14" s="1"/>
      <c r="X14" s="1"/>
      <c r="Y14" s="1"/>
      <c r="Z14" s="1"/>
      <c r="AA14" s="98"/>
      <c r="AB14" s="1"/>
    </row>
    <row r="15" spans="1:28">
      <c r="A15" s="1" t="s">
        <v>173</v>
      </c>
      <c r="B15" s="1" t="s">
        <v>192</v>
      </c>
      <c r="C15" s="1" t="s">
        <v>551</v>
      </c>
      <c r="D15" s="1">
        <v>7</v>
      </c>
      <c r="E15" s="188">
        <v>37000</v>
      </c>
      <c r="F15" s="188">
        <v>48100</v>
      </c>
      <c r="G15" s="188">
        <v>57720</v>
      </c>
      <c r="H15" s="188" t="str">
        <f t="shared" si="2"/>
        <v>Yes</v>
      </c>
      <c r="I15" s="189">
        <f t="shared" si="0"/>
        <v>0.15</v>
      </c>
      <c r="J15" s="187">
        <f t="shared" si="1"/>
        <v>0.15</v>
      </c>
      <c r="K15" s="1"/>
      <c r="L15" s="1"/>
      <c r="M15" s="188"/>
      <c r="N15" s="188"/>
      <c r="O15" s="188"/>
      <c r="P15" s="1"/>
      <c r="Q15" s="1"/>
      <c r="R15" s="1"/>
      <c r="S15" s="1"/>
      <c r="T15" s="1"/>
      <c r="U15" s="1"/>
      <c r="V15" s="1"/>
      <c r="W15" s="1"/>
      <c r="X15" s="1"/>
      <c r="Y15" s="1"/>
      <c r="Z15" s="1"/>
      <c r="AA15" s="98"/>
      <c r="AB15" s="1"/>
    </row>
    <row r="16" spans="1:28">
      <c r="A16" s="1" t="s">
        <v>173</v>
      </c>
      <c r="B16" s="1" t="s">
        <v>174</v>
      </c>
      <c r="C16" s="1" t="s">
        <v>552</v>
      </c>
      <c r="D16" s="1">
        <v>7</v>
      </c>
      <c r="E16" s="188">
        <v>37000</v>
      </c>
      <c r="F16" s="188">
        <v>48100</v>
      </c>
      <c r="G16" s="188">
        <v>57720</v>
      </c>
      <c r="H16" s="188" t="str">
        <f t="shared" si="2"/>
        <v>Yes</v>
      </c>
      <c r="I16" s="189">
        <f t="shared" si="0"/>
        <v>0.15</v>
      </c>
      <c r="J16" s="187">
        <f t="shared" si="1"/>
        <v>0.15</v>
      </c>
      <c r="K16" s="1"/>
      <c r="L16" s="1"/>
      <c r="M16" s="1"/>
      <c r="N16" s="1"/>
      <c r="O16" s="1"/>
      <c r="P16" s="1"/>
      <c r="Q16" s="1"/>
      <c r="R16" s="1"/>
      <c r="S16" s="1"/>
      <c r="T16" s="1"/>
      <c r="U16" s="1"/>
      <c r="V16" s="1"/>
      <c r="W16" s="1"/>
      <c r="X16" s="1"/>
      <c r="Y16" s="1"/>
      <c r="Z16" s="1"/>
      <c r="AA16" s="98"/>
      <c r="AB16" s="1"/>
    </row>
    <row r="17" spans="1:28">
      <c r="A17" s="1" t="s">
        <v>296</v>
      </c>
      <c r="B17" s="1" t="s">
        <v>304</v>
      </c>
      <c r="C17" s="1" t="s">
        <v>553</v>
      </c>
      <c r="D17" s="1">
        <v>1</v>
      </c>
      <c r="E17" s="188">
        <v>20000</v>
      </c>
      <c r="F17" s="188">
        <v>26000</v>
      </c>
      <c r="G17" s="188">
        <v>31200</v>
      </c>
      <c r="H17" s="188" t="str">
        <f t="shared" si="2"/>
        <v>No</v>
      </c>
      <c r="I17" s="189">
        <f t="shared" si="0"/>
        <v>0</v>
      </c>
      <c r="J17" s="187">
        <f t="shared" si="1"/>
        <v>0</v>
      </c>
      <c r="K17" s="1"/>
      <c r="L17" s="1"/>
      <c r="M17" s="1"/>
      <c r="N17" s="1"/>
      <c r="O17" s="1"/>
      <c r="P17" s="1"/>
      <c r="Q17" s="1"/>
      <c r="R17" s="1"/>
      <c r="S17" s="1"/>
      <c r="T17" s="1"/>
      <c r="U17" s="1"/>
      <c r="V17" s="1"/>
      <c r="W17" s="1"/>
      <c r="X17" s="1"/>
      <c r="Y17" s="1"/>
      <c r="Z17" s="1"/>
      <c r="AA17" s="98"/>
      <c r="AB17" s="1"/>
    </row>
    <row r="18" spans="1:28">
      <c r="A18" s="1" t="s">
        <v>296</v>
      </c>
      <c r="B18" s="1" t="s">
        <v>316</v>
      </c>
      <c r="C18" s="1" t="s">
        <v>554</v>
      </c>
      <c r="D18" s="1">
        <v>3</v>
      </c>
      <c r="E18" s="188">
        <v>26500</v>
      </c>
      <c r="F18" s="188">
        <v>34450</v>
      </c>
      <c r="G18" s="188">
        <v>41340</v>
      </c>
      <c r="H18" s="188" t="str">
        <f t="shared" si="2"/>
        <v>Yes</v>
      </c>
      <c r="I18" s="189">
        <f t="shared" si="0"/>
        <v>0.05</v>
      </c>
      <c r="J18" s="187">
        <f t="shared" si="1"/>
        <v>0</v>
      </c>
      <c r="K18" s="1"/>
      <c r="L18" s="1"/>
      <c r="M18" s="1"/>
      <c r="N18" s="1"/>
      <c r="O18" s="1"/>
      <c r="P18" s="1"/>
      <c r="Q18" s="1"/>
      <c r="R18" s="1"/>
      <c r="S18" s="1"/>
      <c r="T18" s="1"/>
      <c r="U18" s="1"/>
      <c r="V18" s="1"/>
      <c r="W18" s="1"/>
      <c r="X18" s="1"/>
      <c r="Y18" s="1"/>
      <c r="Z18" s="1"/>
      <c r="AA18" s="98"/>
      <c r="AB18" s="1"/>
    </row>
    <row r="19" spans="1:28">
      <c r="A19" s="1" t="s">
        <v>296</v>
      </c>
      <c r="B19" s="1" t="s">
        <v>523</v>
      </c>
      <c r="C19" s="1" t="s">
        <v>555</v>
      </c>
      <c r="D19" s="1">
        <v>3</v>
      </c>
      <c r="E19" s="188">
        <v>26500</v>
      </c>
      <c r="F19" s="188">
        <v>34450</v>
      </c>
      <c r="G19" s="188">
        <v>41340</v>
      </c>
      <c r="H19" s="188" t="str">
        <f t="shared" si="2"/>
        <v>Yes</v>
      </c>
      <c r="I19" s="189">
        <f t="shared" si="0"/>
        <v>0.05</v>
      </c>
      <c r="J19" s="187">
        <f t="shared" si="1"/>
        <v>0</v>
      </c>
      <c r="K19" s="1"/>
      <c r="L19" s="1"/>
      <c r="M19" s="1"/>
      <c r="N19" s="1"/>
      <c r="O19" s="1"/>
      <c r="P19" s="1"/>
      <c r="Q19" s="1"/>
      <c r="R19" s="1"/>
      <c r="S19" s="1"/>
      <c r="T19" s="1"/>
      <c r="U19" s="1"/>
      <c r="V19" s="1"/>
      <c r="W19" s="1"/>
      <c r="X19" s="1"/>
      <c r="Y19" s="1"/>
      <c r="Z19" s="1"/>
      <c r="AA19" s="98"/>
      <c r="AB19" s="1"/>
    </row>
    <row r="20" spans="1:28">
      <c r="A20" s="1" t="s">
        <v>296</v>
      </c>
      <c r="B20" s="1" t="s">
        <v>501</v>
      </c>
      <c r="C20" s="1" t="s">
        <v>556</v>
      </c>
      <c r="D20" s="1">
        <v>3</v>
      </c>
      <c r="E20" s="188">
        <v>26500</v>
      </c>
      <c r="F20" s="188">
        <v>34450</v>
      </c>
      <c r="G20" s="188">
        <v>41340</v>
      </c>
      <c r="H20" s="188" t="str">
        <f t="shared" si="2"/>
        <v>Yes</v>
      </c>
      <c r="I20" s="189">
        <f t="shared" si="0"/>
        <v>0.05</v>
      </c>
      <c r="J20" s="187">
        <f t="shared" si="1"/>
        <v>0</v>
      </c>
      <c r="K20" s="1"/>
      <c r="L20" s="1"/>
      <c r="M20" s="1"/>
      <c r="N20" s="1"/>
      <c r="O20" s="1"/>
      <c r="P20" s="1"/>
      <c r="Q20" s="1"/>
      <c r="R20" s="1"/>
      <c r="S20" s="1"/>
      <c r="T20" s="1"/>
      <c r="U20" s="1"/>
      <c r="V20" s="1"/>
      <c r="W20" s="1"/>
      <c r="X20" s="1"/>
      <c r="Y20" s="1"/>
      <c r="Z20" s="1"/>
      <c r="AA20" s="98"/>
      <c r="AB20" s="1"/>
    </row>
    <row r="21" spans="1:28">
      <c r="A21" s="1" t="s">
        <v>296</v>
      </c>
      <c r="B21" s="1" t="s">
        <v>351</v>
      </c>
      <c r="C21" s="1" t="s">
        <v>557</v>
      </c>
      <c r="D21" s="1">
        <v>3</v>
      </c>
      <c r="E21" s="188">
        <v>26500</v>
      </c>
      <c r="F21" s="188">
        <v>34450</v>
      </c>
      <c r="G21" s="188">
        <v>41340</v>
      </c>
      <c r="H21" s="188" t="str">
        <f t="shared" si="2"/>
        <v>Yes</v>
      </c>
      <c r="I21" s="189">
        <f t="shared" si="0"/>
        <v>0.05</v>
      </c>
      <c r="J21" s="187">
        <f t="shared" si="1"/>
        <v>0</v>
      </c>
      <c r="K21" s="1"/>
      <c r="L21" s="1"/>
      <c r="M21" s="1"/>
      <c r="N21" s="1"/>
      <c r="O21" s="1"/>
      <c r="P21" s="1"/>
      <c r="Q21" s="1"/>
      <c r="R21" s="1"/>
      <c r="S21" s="1"/>
      <c r="T21" s="1"/>
      <c r="U21" s="1"/>
      <c r="V21" s="1"/>
      <c r="W21" s="1"/>
      <c r="X21" s="1"/>
      <c r="Y21" s="1"/>
      <c r="Z21" s="1"/>
      <c r="AA21" s="98"/>
      <c r="AB21" s="1"/>
    </row>
    <row r="22" spans="1:28">
      <c r="A22" s="1" t="s">
        <v>296</v>
      </c>
      <c r="B22" s="1" t="s">
        <v>330</v>
      </c>
      <c r="C22" s="1" t="s">
        <v>558</v>
      </c>
      <c r="D22" s="1">
        <v>5</v>
      </c>
      <c r="E22" s="188">
        <v>29000</v>
      </c>
      <c r="F22" s="188">
        <v>37700</v>
      </c>
      <c r="G22" s="188">
        <v>45240</v>
      </c>
      <c r="H22" s="188" t="str">
        <f t="shared" si="2"/>
        <v>Yes</v>
      </c>
      <c r="I22" s="189">
        <f t="shared" si="0"/>
        <v>0.1</v>
      </c>
      <c r="J22" s="187">
        <f t="shared" si="1"/>
        <v>0.05</v>
      </c>
      <c r="K22" s="1"/>
      <c r="L22" s="1"/>
      <c r="M22" s="1"/>
      <c r="N22" s="1"/>
      <c r="O22" s="1"/>
      <c r="P22" s="1"/>
      <c r="Q22" s="1"/>
      <c r="R22" s="1"/>
      <c r="S22" s="1"/>
      <c r="T22" s="1"/>
      <c r="U22" s="1"/>
      <c r="V22" s="1"/>
      <c r="W22" s="1"/>
      <c r="X22" s="1"/>
      <c r="Y22" s="1"/>
      <c r="Z22" s="1"/>
      <c r="AA22" s="98"/>
      <c r="AB22" s="1"/>
    </row>
    <row r="23" spans="1:28">
      <c r="A23" s="1" t="s">
        <v>296</v>
      </c>
      <c r="B23" s="1" t="s">
        <v>338</v>
      </c>
      <c r="C23" s="1" t="s">
        <v>559</v>
      </c>
      <c r="D23" s="1">
        <v>6</v>
      </c>
      <c r="E23" s="188">
        <v>33000</v>
      </c>
      <c r="F23" s="188">
        <v>42900</v>
      </c>
      <c r="G23" s="188">
        <v>51480</v>
      </c>
      <c r="H23" s="188" t="str">
        <f t="shared" si="2"/>
        <v>Yes</v>
      </c>
      <c r="I23" s="189">
        <f t="shared" si="0"/>
        <v>0.1</v>
      </c>
      <c r="J23" s="187">
        <f t="shared" si="1"/>
        <v>0.1</v>
      </c>
      <c r="K23" s="1"/>
      <c r="L23" s="1"/>
      <c r="M23" s="1"/>
      <c r="N23" s="1"/>
      <c r="O23" s="1"/>
      <c r="P23" s="1"/>
      <c r="Q23" s="1"/>
      <c r="R23" s="1"/>
      <c r="S23" s="1"/>
      <c r="T23" s="1"/>
      <c r="U23" s="1"/>
      <c r="V23" s="1"/>
      <c r="W23" s="1"/>
      <c r="X23" s="1"/>
      <c r="Y23" s="1"/>
      <c r="Z23" s="1"/>
      <c r="AA23" s="98"/>
      <c r="AB23" s="1"/>
    </row>
    <row r="24" spans="1:28">
      <c r="A24" s="1" t="s">
        <v>296</v>
      </c>
      <c r="B24" s="1" t="s">
        <v>297</v>
      </c>
      <c r="C24" s="1" t="s">
        <v>560</v>
      </c>
      <c r="D24" s="1">
        <v>7</v>
      </c>
      <c r="E24" s="188">
        <v>37000</v>
      </c>
      <c r="F24" s="188">
        <v>48100</v>
      </c>
      <c r="G24" s="188">
        <v>57720</v>
      </c>
      <c r="H24" s="188" t="str">
        <f t="shared" si="2"/>
        <v>Yes</v>
      </c>
      <c r="I24" s="189">
        <f t="shared" si="0"/>
        <v>0.15</v>
      </c>
      <c r="J24" s="187">
        <f t="shared" si="1"/>
        <v>0.15</v>
      </c>
      <c r="K24" s="1"/>
      <c r="L24" s="1"/>
      <c r="M24" s="1"/>
      <c r="N24" s="1"/>
      <c r="O24" s="1"/>
      <c r="P24" s="1"/>
      <c r="Q24" s="1"/>
      <c r="R24" s="1"/>
      <c r="S24" s="1"/>
      <c r="T24" s="1"/>
      <c r="U24" s="1"/>
      <c r="V24" s="1"/>
      <c r="W24" s="1"/>
      <c r="X24" s="1"/>
      <c r="Y24" s="1"/>
      <c r="Z24" s="1"/>
      <c r="AA24" s="98"/>
      <c r="AB24" s="1"/>
    </row>
    <row r="25" spans="1:28">
      <c r="A25" s="1" t="s">
        <v>341</v>
      </c>
      <c r="B25" s="1" t="s">
        <v>504</v>
      </c>
      <c r="C25" s="1" t="s">
        <v>561</v>
      </c>
      <c r="D25" s="1">
        <v>3</v>
      </c>
      <c r="E25" s="188">
        <v>26500</v>
      </c>
      <c r="F25" s="188">
        <v>34450</v>
      </c>
      <c r="G25" s="188">
        <v>41340</v>
      </c>
      <c r="H25" s="188" t="str">
        <f t="shared" si="2"/>
        <v>Yes</v>
      </c>
      <c r="I25" s="189">
        <f t="shared" si="0"/>
        <v>0.05</v>
      </c>
      <c r="J25" s="187">
        <f t="shared" si="1"/>
        <v>0</v>
      </c>
      <c r="K25" s="1"/>
      <c r="L25" s="1"/>
      <c r="M25" s="1"/>
      <c r="N25" s="1"/>
      <c r="O25" s="1"/>
      <c r="P25" s="1"/>
      <c r="Q25" s="1"/>
      <c r="R25" s="1"/>
      <c r="S25" s="1"/>
      <c r="T25" s="1"/>
      <c r="U25" s="1"/>
      <c r="V25" s="1"/>
      <c r="W25" s="1"/>
      <c r="X25" s="1"/>
      <c r="Y25" s="1"/>
      <c r="Z25" s="1"/>
      <c r="AA25" s="98"/>
      <c r="AB25" s="1"/>
    </row>
    <row r="26" spans="1:28">
      <c r="A26" s="1" t="s">
        <v>341</v>
      </c>
      <c r="B26" s="1" t="s">
        <v>342</v>
      </c>
      <c r="C26" s="1" t="s">
        <v>562</v>
      </c>
      <c r="D26" s="1">
        <v>4</v>
      </c>
      <c r="E26" s="188">
        <v>27000</v>
      </c>
      <c r="F26" s="188">
        <v>35100</v>
      </c>
      <c r="G26" s="188">
        <v>42120</v>
      </c>
      <c r="H26" s="188" t="str">
        <f t="shared" si="2"/>
        <v>Yes</v>
      </c>
      <c r="I26" s="189">
        <f t="shared" si="0"/>
        <v>0.05</v>
      </c>
      <c r="J26" s="187">
        <f t="shared" si="1"/>
        <v>0</v>
      </c>
      <c r="K26" s="1"/>
      <c r="L26" s="1"/>
      <c r="M26" s="1"/>
      <c r="N26" s="1"/>
      <c r="O26" s="1"/>
      <c r="P26" s="1"/>
      <c r="Q26" s="1"/>
      <c r="R26" s="1"/>
      <c r="S26" s="1"/>
      <c r="T26" s="1"/>
      <c r="U26" s="1"/>
      <c r="V26" s="1"/>
      <c r="W26" s="1"/>
      <c r="X26" s="1"/>
      <c r="Y26" s="1"/>
      <c r="Z26" s="1"/>
      <c r="AA26" s="98"/>
      <c r="AB26" s="1"/>
    </row>
    <row r="27" spans="1:28">
      <c r="A27" s="1" t="s">
        <v>341</v>
      </c>
      <c r="B27" s="1" t="s">
        <v>344</v>
      </c>
      <c r="C27" s="1" t="s">
        <v>563</v>
      </c>
      <c r="D27" s="1">
        <v>7</v>
      </c>
      <c r="E27" s="188">
        <v>37000</v>
      </c>
      <c r="F27" s="188">
        <v>48100</v>
      </c>
      <c r="G27" s="188">
        <v>57720</v>
      </c>
      <c r="H27" s="188" t="str">
        <f t="shared" si="2"/>
        <v>Yes</v>
      </c>
      <c r="I27" s="189">
        <f t="shared" si="0"/>
        <v>0.15</v>
      </c>
      <c r="J27" s="187">
        <f t="shared" si="1"/>
        <v>0.15</v>
      </c>
      <c r="K27" s="1"/>
      <c r="L27" s="1"/>
      <c r="M27" s="1"/>
      <c r="N27" s="1"/>
      <c r="O27" s="1"/>
      <c r="P27" s="1"/>
      <c r="Q27" s="1"/>
      <c r="R27" s="1"/>
      <c r="S27" s="1"/>
      <c r="T27" s="1"/>
      <c r="U27" s="1"/>
      <c r="V27" s="1"/>
      <c r="W27" s="1"/>
      <c r="X27" s="1"/>
      <c r="Y27" s="1"/>
      <c r="Z27" s="1"/>
      <c r="AA27" s="98"/>
      <c r="AB27" s="1"/>
    </row>
    <row r="28" spans="1:28">
      <c r="A28" s="1" t="s">
        <v>564</v>
      </c>
      <c r="B28" s="1" t="s">
        <v>251</v>
      </c>
      <c r="C28" s="1" t="s">
        <v>565</v>
      </c>
      <c r="D28" s="1">
        <v>1</v>
      </c>
      <c r="E28" s="188">
        <v>20000</v>
      </c>
      <c r="F28" s="188">
        <v>26000</v>
      </c>
      <c r="G28" s="188">
        <v>31200</v>
      </c>
      <c r="H28" s="188" t="str">
        <f t="shared" si="2"/>
        <v>No</v>
      </c>
      <c r="I28" s="189">
        <f t="shared" si="0"/>
        <v>0</v>
      </c>
      <c r="J28" s="187">
        <f t="shared" si="1"/>
        <v>0</v>
      </c>
      <c r="K28" s="1"/>
      <c r="L28" s="1"/>
      <c r="M28" s="1"/>
      <c r="N28" s="1"/>
      <c r="O28" s="1"/>
      <c r="P28" s="1"/>
      <c r="Q28" s="1"/>
      <c r="R28" s="1"/>
      <c r="S28" s="1"/>
      <c r="T28" s="1"/>
      <c r="U28" s="1"/>
      <c r="V28" s="1"/>
      <c r="W28" s="1"/>
      <c r="X28" s="1"/>
      <c r="Y28" s="1"/>
      <c r="Z28" s="1"/>
      <c r="AA28" s="98"/>
      <c r="AB28" s="1"/>
    </row>
    <row r="29" spans="1:28">
      <c r="A29" s="1" t="s">
        <v>564</v>
      </c>
      <c r="B29" s="1" t="s">
        <v>286</v>
      </c>
      <c r="C29" s="1" t="s">
        <v>566</v>
      </c>
      <c r="D29" s="1">
        <v>2</v>
      </c>
      <c r="E29" s="188">
        <v>23000</v>
      </c>
      <c r="F29" s="188">
        <v>29900</v>
      </c>
      <c r="G29" s="188">
        <v>35880</v>
      </c>
      <c r="H29" s="188" t="str">
        <f t="shared" si="2"/>
        <v>No</v>
      </c>
      <c r="I29" s="189">
        <f t="shared" si="0"/>
        <v>0</v>
      </c>
      <c r="J29" s="187">
        <f t="shared" si="1"/>
        <v>0</v>
      </c>
      <c r="K29" s="1"/>
      <c r="L29" s="1"/>
      <c r="M29" s="1"/>
      <c r="N29" s="1"/>
      <c r="O29" s="1"/>
      <c r="P29" s="1"/>
      <c r="Q29" s="1"/>
      <c r="R29" s="1"/>
      <c r="S29" s="1"/>
      <c r="T29" s="1"/>
      <c r="U29" s="1"/>
      <c r="V29" s="1"/>
      <c r="W29" s="1"/>
      <c r="X29" s="1"/>
      <c r="Y29" s="1"/>
      <c r="Z29" s="1"/>
      <c r="AA29" s="98"/>
      <c r="AB29" s="1"/>
    </row>
    <row r="30" spans="1:28">
      <c r="A30" s="1" t="s">
        <v>564</v>
      </c>
      <c r="B30" s="1" t="s">
        <v>289</v>
      </c>
      <c r="C30" s="1" t="s">
        <v>567</v>
      </c>
      <c r="D30" s="1">
        <v>2</v>
      </c>
      <c r="E30" s="188">
        <v>23000</v>
      </c>
      <c r="F30" s="188">
        <v>29900</v>
      </c>
      <c r="G30" s="188">
        <v>35880</v>
      </c>
      <c r="H30" s="188" t="str">
        <f t="shared" si="2"/>
        <v>No</v>
      </c>
      <c r="I30" s="189">
        <f t="shared" si="0"/>
        <v>0</v>
      </c>
      <c r="J30" s="187">
        <f t="shared" si="1"/>
        <v>0</v>
      </c>
      <c r="K30" s="1"/>
      <c r="L30" s="1"/>
      <c r="M30" s="1"/>
      <c r="N30" s="1"/>
      <c r="O30" s="1"/>
      <c r="P30" s="1"/>
      <c r="Q30" s="1"/>
      <c r="R30" s="1"/>
      <c r="S30" s="1"/>
      <c r="T30" s="1"/>
      <c r="U30" s="1"/>
      <c r="V30" s="1"/>
      <c r="W30" s="1"/>
      <c r="X30" s="1"/>
      <c r="Y30" s="1"/>
      <c r="Z30" s="1"/>
      <c r="AA30" s="98"/>
      <c r="AB30" s="1"/>
    </row>
    <row r="31" spans="1:28">
      <c r="A31" s="1" t="s">
        <v>564</v>
      </c>
      <c r="B31" s="1" t="s">
        <v>291</v>
      </c>
      <c r="C31" s="1" t="s">
        <v>568</v>
      </c>
      <c r="D31" s="1">
        <v>2</v>
      </c>
      <c r="E31" s="188">
        <v>23000</v>
      </c>
      <c r="F31" s="188">
        <v>29900</v>
      </c>
      <c r="G31" s="188">
        <v>35880</v>
      </c>
      <c r="H31" s="188" t="str">
        <f t="shared" si="2"/>
        <v>No</v>
      </c>
      <c r="I31" s="189">
        <f t="shared" si="0"/>
        <v>0</v>
      </c>
      <c r="J31" s="187">
        <f t="shared" si="1"/>
        <v>0</v>
      </c>
      <c r="K31" s="1"/>
      <c r="L31" s="1"/>
      <c r="M31" s="1"/>
      <c r="N31" s="1"/>
      <c r="O31" s="1"/>
      <c r="P31" s="1"/>
      <c r="Q31" s="1"/>
      <c r="R31" s="1"/>
      <c r="S31" s="1"/>
      <c r="T31" s="1"/>
      <c r="U31" s="1"/>
      <c r="V31" s="1"/>
      <c r="W31" s="1"/>
      <c r="X31" s="1"/>
      <c r="Y31" s="1"/>
      <c r="Z31" s="1"/>
      <c r="AA31" s="98"/>
      <c r="AB31" s="1"/>
    </row>
    <row r="32" spans="1:28">
      <c r="A32" s="1" t="s">
        <v>564</v>
      </c>
      <c r="B32" s="1" t="s">
        <v>310</v>
      </c>
      <c r="C32" s="1" t="s">
        <v>569</v>
      </c>
      <c r="D32" s="1">
        <v>1</v>
      </c>
      <c r="E32" s="188">
        <v>20000</v>
      </c>
      <c r="F32" s="188">
        <v>26000</v>
      </c>
      <c r="G32" s="188">
        <v>31200</v>
      </c>
      <c r="H32" s="188" t="str">
        <f t="shared" si="2"/>
        <v>No</v>
      </c>
      <c r="I32" s="189">
        <f t="shared" si="0"/>
        <v>0</v>
      </c>
      <c r="J32" s="187">
        <f t="shared" si="1"/>
        <v>0</v>
      </c>
      <c r="K32" s="1"/>
      <c r="L32" s="1"/>
      <c r="M32" s="1"/>
      <c r="N32" s="1"/>
      <c r="O32" s="1"/>
      <c r="P32" s="1"/>
      <c r="Q32" s="1"/>
      <c r="R32" s="1"/>
      <c r="S32" s="1"/>
      <c r="T32" s="1"/>
      <c r="U32" s="1"/>
      <c r="V32" s="1"/>
      <c r="W32" s="1"/>
      <c r="X32" s="1"/>
      <c r="Y32" s="1"/>
      <c r="Z32" s="1"/>
      <c r="AA32" s="98"/>
      <c r="AB32" s="1"/>
    </row>
    <row r="33" spans="1:28">
      <c r="A33" s="1" t="s">
        <v>564</v>
      </c>
      <c r="B33" s="1" t="s">
        <v>312</v>
      </c>
      <c r="C33" s="1" t="s">
        <v>570</v>
      </c>
      <c r="D33" s="1">
        <v>2</v>
      </c>
      <c r="E33" s="188">
        <v>23000</v>
      </c>
      <c r="F33" s="188">
        <v>29900</v>
      </c>
      <c r="G33" s="188">
        <v>35880</v>
      </c>
      <c r="H33" s="188" t="str">
        <f t="shared" si="2"/>
        <v>No</v>
      </c>
      <c r="I33" s="189">
        <f t="shared" si="0"/>
        <v>0</v>
      </c>
      <c r="J33" s="187">
        <f t="shared" si="1"/>
        <v>0</v>
      </c>
      <c r="K33" s="1"/>
      <c r="L33" s="1"/>
      <c r="M33" s="1"/>
      <c r="N33" s="1"/>
      <c r="O33" s="1"/>
      <c r="P33" s="1"/>
      <c r="Q33" s="1"/>
      <c r="R33" s="1"/>
      <c r="S33" s="1"/>
      <c r="T33" s="1"/>
      <c r="U33" s="1"/>
      <c r="V33" s="1"/>
      <c r="W33" s="1"/>
      <c r="X33" s="1"/>
      <c r="Y33" s="1"/>
      <c r="Z33" s="1"/>
      <c r="AA33" s="98"/>
      <c r="AB33" s="1"/>
    </row>
    <row r="34" spans="1:28">
      <c r="A34" s="1" t="s">
        <v>564</v>
      </c>
      <c r="B34" s="1" t="s">
        <v>314</v>
      </c>
      <c r="C34" s="1" t="s">
        <v>571</v>
      </c>
      <c r="D34" s="1">
        <v>2</v>
      </c>
      <c r="E34" s="188">
        <v>23000</v>
      </c>
      <c r="F34" s="188">
        <v>29900</v>
      </c>
      <c r="G34" s="188">
        <v>35880</v>
      </c>
      <c r="H34" s="188" t="str">
        <f t="shared" si="2"/>
        <v>No</v>
      </c>
      <c r="I34" s="189">
        <f t="shared" ref="I34:I65" si="3">VLOOKUP(D34,$L$1:$M$7,2,FALSE)</f>
        <v>0</v>
      </c>
      <c r="J34" s="187">
        <f t="shared" ref="J34:J65" si="4">VLOOKUP(D34,$L$1:$N$7,3,FALSE)</f>
        <v>0</v>
      </c>
      <c r="K34" s="1"/>
      <c r="L34" s="1"/>
      <c r="M34" s="1"/>
      <c r="N34" s="1"/>
      <c r="O34" s="1"/>
      <c r="P34" s="1"/>
      <c r="Q34" s="1"/>
      <c r="R34" s="1"/>
      <c r="S34" s="1"/>
      <c r="T34" s="1"/>
      <c r="U34" s="1"/>
      <c r="V34" s="1"/>
      <c r="W34" s="1"/>
      <c r="X34" s="1"/>
      <c r="Y34" s="1"/>
      <c r="Z34" s="1"/>
      <c r="AA34" s="98"/>
      <c r="AB34" s="1"/>
    </row>
    <row r="35" spans="1:28">
      <c r="A35" s="1" t="s">
        <v>564</v>
      </c>
      <c r="B35" s="1" t="s">
        <v>318</v>
      </c>
      <c r="C35" s="1" t="s">
        <v>572</v>
      </c>
      <c r="D35" s="1">
        <v>3</v>
      </c>
      <c r="E35" s="188">
        <v>26500</v>
      </c>
      <c r="F35" s="188">
        <v>34450</v>
      </c>
      <c r="G35" s="188">
        <v>41340</v>
      </c>
      <c r="H35" s="188" t="str">
        <f t="shared" si="2"/>
        <v>Yes</v>
      </c>
      <c r="I35" s="189">
        <f t="shared" si="3"/>
        <v>0.05</v>
      </c>
      <c r="J35" s="187">
        <f t="shared" si="4"/>
        <v>0</v>
      </c>
      <c r="K35" s="1"/>
      <c r="L35" s="1"/>
      <c r="M35" s="1"/>
      <c r="N35" s="1"/>
      <c r="O35" s="1"/>
      <c r="P35" s="1"/>
      <c r="Q35" s="1"/>
      <c r="R35" s="1"/>
      <c r="S35" s="1"/>
      <c r="T35" s="1"/>
      <c r="U35" s="1"/>
      <c r="V35" s="1"/>
      <c r="W35" s="1"/>
      <c r="X35" s="1"/>
      <c r="Y35" s="1"/>
      <c r="Z35" s="1"/>
      <c r="AA35" s="98"/>
      <c r="AB35" s="1"/>
    </row>
    <row r="36" spans="1:28">
      <c r="A36" s="1" t="s">
        <v>564</v>
      </c>
      <c r="B36" s="1" t="s">
        <v>322</v>
      </c>
      <c r="C36" s="1" t="s">
        <v>573</v>
      </c>
      <c r="D36" s="1">
        <v>2</v>
      </c>
      <c r="E36" s="188">
        <v>23000</v>
      </c>
      <c r="F36" s="188">
        <v>29900</v>
      </c>
      <c r="G36" s="188">
        <v>35880</v>
      </c>
      <c r="H36" s="188" t="str">
        <f t="shared" si="2"/>
        <v>No</v>
      </c>
      <c r="I36" s="189">
        <f t="shared" si="3"/>
        <v>0</v>
      </c>
      <c r="J36" s="187">
        <f t="shared" si="4"/>
        <v>0</v>
      </c>
      <c r="K36" s="1"/>
      <c r="L36" s="1"/>
      <c r="M36" s="1"/>
      <c r="N36" s="1"/>
      <c r="O36" s="1"/>
      <c r="P36" s="1"/>
      <c r="Q36" s="1"/>
      <c r="R36" s="1"/>
      <c r="S36" s="1"/>
      <c r="T36" s="1"/>
      <c r="U36" s="1"/>
      <c r="V36" s="1"/>
      <c r="W36" s="1"/>
      <c r="X36" s="1"/>
      <c r="Y36" s="1"/>
      <c r="Z36" s="1"/>
      <c r="AA36" s="98"/>
      <c r="AB36" s="1"/>
    </row>
    <row r="37" spans="1:28">
      <c r="A37" s="1" t="s">
        <v>564</v>
      </c>
      <c r="B37" s="1" t="s">
        <v>324</v>
      </c>
      <c r="C37" s="1" t="s">
        <v>574</v>
      </c>
      <c r="D37" s="1">
        <v>6</v>
      </c>
      <c r="E37" s="188">
        <v>33000</v>
      </c>
      <c r="F37" s="188">
        <v>42900</v>
      </c>
      <c r="G37" s="188">
        <v>51480</v>
      </c>
      <c r="H37" s="188" t="str">
        <f t="shared" si="2"/>
        <v>Yes</v>
      </c>
      <c r="I37" s="189">
        <f t="shared" si="3"/>
        <v>0.1</v>
      </c>
      <c r="J37" s="187">
        <f t="shared" si="4"/>
        <v>0.1</v>
      </c>
      <c r="K37" s="1"/>
      <c r="L37" s="1"/>
      <c r="M37" s="1"/>
      <c r="N37" s="1"/>
      <c r="O37" s="1"/>
      <c r="P37" s="1"/>
      <c r="Q37" s="1"/>
      <c r="R37" s="1"/>
      <c r="S37" s="1"/>
      <c r="T37" s="1"/>
      <c r="U37" s="1"/>
      <c r="V37" s="1"/>
      <c r="W37" s="1"/>
      <c r="X37" s="1"/>
      <c r="Y37" s="1"/>
      <c r="Z37" s="1"/>
      <c r="AA37" s="98"/>
      <c r="AB37" s="1"/>
    </row>
    <row r="38" spans="1:28">
      <c r="A38" s="1" t="s">
        <v>564</v>
      </c>
      <c r="B38" s="1" t="s">
        <v>326</v>
      </c>
      <c r="C38" s="1" t="s">
        <v>575</v>
      </c>
      <c r="D38" s="1">
        <v>2</v>
      </c>
      <c r="E38" s="188">
        <v>23000</v>
      </c>
      <c r="F38" s="188">
        <v>29900</v>
      </c>
      <c r="G38" s="188">
        <v>35880</v>
      </c>
      <c r="H38" s="188" t="str">
        <f t="shared" ref="H38:H69" si="5">IF(OR(D38=3,D38&gt;3),"Yes","No")</f>
        <v>No</v>
      </c>
      <c r="I38" s="189">
        <f t="shared" si="3"/>
        <v>0</v>
      </c>
      <c r="J38" s="187">
        <f t="shared" si="4"/>
        <v>0</v>
      </c>
      <c r="K38" s="1"/>
      <c r="L38" s="1"/>
      <c r="M38" s="1"/>
      <c r="N38" s="1"/>
      <c r="O38" s="1"/>
      <c r="P38" s="1"/>
      <c r="Q38" s="1"/>
      <c r="R38" s="1"/>
      <c r="S38" s="1"/>
      <c r="T38" s="1"/>
      <c r="U38" s="1"/>
      <c r="V38" s="1"/>
      <c r="W38" s="1"/>
      <c r="X38" s="1"/>
      <c r="Y38" s="1"/>
      <c r="Z38" s="1"/>
      <c r="AA38" s="98"/>
      <c r="AB38" s="1"/>
    </row>
    <row r="39" spans="1:28">
      <c r="A39" s="1" t="s">
        <v>564</v>
      </c>
      <c r="B39" s="1" t="s">
        <v>332</v>
      </c>
      <c r="C39" s="1" t="s">
        <v>576</v>
      </c>
      <c r="D39" s="1">
        <v>3</v>
      </c>
      <c r="E39" s="188">
        <v>26500</v>
      </c>
      <c r="F39" s="188">
        <v>34450</v>
      </c>
      <c r="G39" s="188">
        <v>41340</v>
      </c>
      <c r="H39" s="188" t="str">
        <f t="shared" si="5"/>
        <v>Yes</v>
      </c>
      <c r="I39" s="189">
        <f t="shared" si="3"/>
        <v>0.05</v>
      </c>
      <c r="J39" s="187">
        <f t="shared" si="4"/>
        <v>0</v>
      </c>
      <c r="K39" s="1"/>
      <c r="L39" s="1"/>
      <c r="M39" s="1"/>
      <c r="N39" s="1"/>
      <c r="O39" s="1"/>
      <c r="P39" s="1"/>
      <c r="Q39" s="1"/>
      <c r="R39" s="1"/>
      <c r="S39" s="1"/>
      <c r="T39" s="1"/>
      <c r="U39" s="1"/>
      <c r="V39" s="1"/>
      <c r="W39" s="1"/>
      <c r="X39" s="1"/>
      <c r="Y39" s="1"/>
      <c r="Z39" s="1"/>
      <c r="AA39" s="98"/>
      <c r="AB39" s="1"/>
    </row>
    <row r="40" spans="1:28">
      <c r="A40" s="1" t="s">
        <v>564</v>
      </c>
      <c r="B40" s="1" t="s">
        <v>336</v>
      </c>
      <c r="C40" s="1" t="s">
        <v>577</v>
      </c>
      <c r="D40" s="1">
        <v>2</v>
      </c>
      <c r="E40" s="188">
        <v>23000</v>
      </c>
      <c r="F40" s="188">
        <v>29900</v>
      </c>
      <c r="G40" s="188">
        <v>35880</v>
      </c>
      <c r="H40" s="188" t="str">
        <f t="shared" si="5"/>
        <v>No</v>
      </c>
      <c r="I40" s="189">
        <f t="shared" si="3"/>
        <v>0</v>
      </c>
      <c r="J40" s="187">
        <f t="shared" si="4"/>
        <v>0</v>
      </c>
      <c r="K40" s="1"/>
      <c r="L40" s="1"/>
      <c r="M40" s="1"/>
      <c r="N40" s="1"/>
      <c r="O40" s="1"/>
      <c r="P40" s="1"/>
      <c r="Q40" s="1"/>
      <c r="R40" s="1"/>
      <c r="S40" s="1"/>
      <c r="T40" s="1"/>
      <c r="U40" s="1"/>
      <c r="V40" s="1"/>
      <c r="W40" s="1"/>
      <c r="X40" s="1"/>
      <c r="Y40" s="1"/>
      <c r="Z40" s="1"/>
      <c r="AA40" s="98"/>
      <c r="AB40" s="1"/>
    </row>
    <row r="41" spans="1:28">
      <c r="A41" s="1" t="s">
        <v>564</v>
      </c>
      <c r="B41" s="1" t="s">
        <v>354</v>
      </c>
      <c r="C41" s="1" t="s">
        <v>578</v>
      </c>
      <c r="D41" s="1">
        <v>2</v>
      </c>
      <c r="E41" s="188">
        <v>23000</v>
      </c>
      <c r="F41" s="188">
        <v>29900</v>
      </c>
      <c r="G41" s="188">
        <v>35880</v>
      </c>
      <c r="H41" s="188" t="str">
        <f t="shared" si="5"/>
        <v>No</v>
      </c>
      <c r="I41" s="189">
        <f t="shared" si="3"/>
        <v>0</v>
      </c>
      <c r="J41" s="187">
        <f t="shared" si="4"/>
        <v>0</v>
      </c>
      <c r="K41" s="1"/>
      <c r="L41" s="1"/>
      <c r="M41" s="1"/>
      <c r="N41" s="1"/>
      <c r="O41" s="1"/>
      <c r="P41" s="1"/>
      <c r="Q41" s="1"/>
      <c r="R41" s="1"/>
      <c r="S41" s="1"/>
      <c r="T41" s="1"/>
      <c r="U41" s="1"/>
      <c r="V41" s="1"/>
      <c r="W41" s="1"/>
      <c r="X41" s="1"/>
      <c r="Y41" s="1"/>
      <c r="Z41" s="1"/>
      <c r="AA41" s="98"/>
      <c r="AB41" s="1"/>
    </row>
    <row r="42" spans="1:28">
      <c r="A42" s="1" t="s">
        <v>564</v>
      </c>
      <c r="B42" s="1" t="s">
        <v>357</v>
      </c>
      <c r="C42" s="1" t="s">
        <v>579</v>
      </c>
      <c r="D42" s="1">
        <v>6</v>
      </c>
      <c r="E42" s="188">
        <v>33000</v>
      </c>
      <c r="F42" s="188">
        <v>42900</v>
      </c>
      <c r="G42" s="188">
        <v>51480</v>
      </c>
      <c r="H42" s="188" t="str">
        <f t="shared" si="5"/>
        <v>Yes</v>
      </c>
      <c r="I42" s="189">
        <f t="shared" si="3"/>
        <v>0.1</v>
      </c>
      <c r="J42" s="187">
        <f t="shared" si="4"/>
        <v>0.1</v>
      </c>
      <c r="K42" s="1"/>
      <c r="L42" s="1"/>
      <c r="M42" s="1"/>
      <c r="N42" s="1"/>
      <c r="O42" s="1"/>
      <c r="P42" s="1"/>
      <c r="Q42" s="1"/>
      <c r="R42" s="1"/>
      <c r="S42" s="1"/>
      <c r="T42" s="1"/>
      <c r="U42" s="1"/>
      <c r="V42" s="1"/>
      <c r="W42" s="1"/>
      <c r="X42" s="1"/>
      <c r="Y42" s="1"/>
      <c r="Z42" s="1"/>
      <c r="AA42" s="98"/>
      <c r="AB42" s="1"/>
    </row>
    <row r="43" spans="1:28">
      <c r="A43" s="1" t="s">
        <v>564</v>
      </c>
      <c r="B43" s="1" t="s">
        <v>361</v>
      </c>
      <c r="C43" s="1" t="s">
        <v>580</v>
      </c>
      <c r="D43" s="1">
        <v>6</v>
      </c>
      <c r="E43" s="188">
        <v>33000</v>
      </c>
      <c r="F43" s="188">
        <v>42900</v>
      </c>
      <c r="G43" s="188">
        <v>51480</v>
      </c>
      <c r="H43" s="188" t="str">
        <f t="shared" si="5"/>
        <v>Yes</v>
      </c>
      <c r="I43" s="189">
        <f t="shared" si="3"/>
        <v>0.1</v>
      </c>
      <c r="J43" s="187">
        <f t="shared" si="4"/>
        <v>0.1</v>
      </c>
      <c r="K43" s="1"/>
      <c r="L43" s="1"/>
      <c r="M43" s="1"/>
      <c r="N43" s="1"/>
      <c r="O43" s="1"/>
      <c r="P43" s="1"/>
      <c r="Q43" s="1"/>
      <c r="R43" s="1"/>
      <c r="S43" s="1"/>
      <c r="T43" s="1"/>
      <c r="U43" s="1"/>
      <c r="V43" s="1"/>
      <c r="W43" s="1"/>
      <c r="X43" s="1"/>
      <c r="Y43" s="1"/>
      <c r="Z43" s="1"/>
      <c r="AA43" s="98"/>
      <c r="AB43" s="1"/>
    </row>
    <row r="44" spans="1:28">
      <c r="A44" s="1" t="s">
        <v>564</v>
      </c>
      <c r="B44" s="1" t="s">
        <v>483</v>
      </c>
      <c r="C44" s="1" t="s">
        <v>581</v>
      </c>
      <c r="D44" s="1">
        <v>7</v>
      </c>
      <c r="E44" s="188">
        <v>37000</v>
      </c>
      <c r="F44" s="188">
        <v>48100</v>
      </c>
      <c r="G44" s="188">
        <v>57720</v>
      </c>
      <c r="H44" s="188" t="str">
        <f t="shared" si="5"/>
        <v>Yes</v>
      </c>
      <c r="I44" s="189">
        <f t="shared" si="3"/>
        <v>0.15</v>
      </c>
      <c r="J44" s="187">
        <f t="shared" si="4"/>
        <v>0.15</v>
      </c>
      <c r="K44" s="1"/>
      <c r="L44" s="1"/>
      <c r="M44" s="1"/>
      <c r="N44" s="1"/>
      <c r="O44" s="1"/>
      <c r="P44" s="1"/>
      <c r="Q44" s="1"/>
      <c r="R44" s="1"/>
      <c r="S44" s="1"/>
      <c r="T44" s="1"/>
      <c r="U44" s="1"/>
      <c r="V44" s="1"/>
      <c r="W44" s="1"/>
      <c r="X44" s="1"/>
      <c r="Y44" s="1"/>
      <c r="Z44" s="1"/>
      <c r="AA44" s="98"/>
      <c r="AB44" s="1"/>
    </row>
    <row r="45" spans="1:28">
      <c r="A45" s="1" t="s">
        <v>564</v>
      </c>
      <c r="B45" s="1" t="s">
        <v>365</v>
      </c>
      <c r="C45" s="1" t="s">
        <v>582</v>
      </c>
      <c r="D45" s="1">
        <v>6</v>
      </c>
      <c r="E45" s="188">
        <v>33000</v>
      </c>
      <c r="F45" s="188">
        <v>42900</v>
      </c>
      <c r="G45" s="188">
        <v>51480</v>
      </c>
      <c r="H45" s="188" t="str">
        <f t="shared" si="5"/>
        <v>Yes</v>
      </c>
      <c r="I45" s="189">
        <f t="shared" si="3"/>
        <v>0.1</v>
      </c>
      <c r="J45" s="187">
        <f t="shared" si="4"/>
        <v>0.1</v>
      </c>
      <c r="K45" s="1"/>
      <c r="L45" s="1"/>
      <c r="M45" s="1"/>
      <c r="N45" s="1"/>
      <c r="O45" s="1"/>
      <c r="P45" s="1"/>
      <c r="Q45" s="1"/>
      <c r="R45" s="1"/>
      <c r="S45" s="1"/>
      <c r="T45" s="1"/>
      <c r="U45" s="1"/>
      <c r="V45" s="1"/>
      <c r="W45" s="1"/>
      <c r="X45" s="1"/>
      <c r="Y45" s="1"/>
      <c r="Z45" s="1"/>
      <c r="AA45" s="98"/>
      <c r="AB45" s="1"/>
    </row>
    <row r="46" spans="1:28">
      <c r="A46" s="1" t="s">
        <v>583</v>
      </c>
      <c r="B46" s="1" t="s">
        <v>368</v>
      </c>
      <c r="C46" s="1" t="s">
        <v>584</v>
      </c>
      <c r="D46" s="1">
        <v>1</v>
      </c>
      <c r="E46" s="188">
        <v>20000</v>
      </c>
      <c r="F46" s="188">
        <v>26000</v>
      </c>
      <c r="G46" s="188">
        <v>31200</v>
      </c>
      <c r="H46" s="188" t="str">
        <f t="shared" si="5"/>
        <v>No</v>
      </c>
      <c r="I46" s="189">
        <f t="shared" si="3"/>
        <v>0</v>
      </c>
      <c r="J46" s="187">
        <f t="shared" si="4"/>
        <v>0</v>
      </c>
      <c r="K46" s="1"/>
      <c r="L46" s="1"/>
      <c r="M46" s="1"/>
      <c r="N46" s="1"/>
      <c r="O46" s="1"/>
      <c r="P46" s="1"/>
      <c r="Q46" s="1"/>
      <c r="R46" s="1"/>
      <c r="S46" s="1"/>
      <c r="T46" s="1"/>
      <c r="U46" s="1"/>
      <c r="V46" s="1"/>
      <c r="W46" s="1"/>
      <c r="X46" s="1"/>
      <c r="Y46" s="1"/>
      <c r="Z46" s="1"/>
      <c r="AA46" s="98"/>
      <c r="AB46" s="1"/>
    </row>
    <row r="47" spans="1:28">
      <c r="A47" s="1" t="s">
        <v>583</v>
      </c>
      <c r="B47" s="1" t="s">
        <v>370</v>
      </c>
      <c r="C47" s="1" t="s">
        <v>585</v>
      </c>
      <c r="D47" s="1">
        <v>2</v>
      </c>
      <c r="E47" s="188">
        <v>23000</v>
      </c>
      <c r="F47" s="188">
        <v>29900</v>
      </c>
      <c r="G47" s="188">
        <v>35880</v>
      </c>
      <c r="H47" s="188" t="str">
        <f t="shared" si="5"/>
        <v>No</v>
      </c>
      <c r="I47" s="189">
        <f t="shared" si="3"/>
        <v>0</v>
      </c>
      <c r="J47" s="187">
        <f t="shared" si="4"/>
        <v>0</v>
      </c>
      <c r="K47" s="1"/>
      <c r="L47" s="1"/>
      <c r="M47" s="1"/>
      <c r="N47" s="1"/>
      <c r="O47" s="1"/>
      <c r="P47" s="1"/>
      <c r="Q47" s="1"/>
      <c r="R47" s="1"/>
      <c r="S47" s="1"/>
      <c r="T47" s="1"/>
      <c r="U47" s="1"/>
      <c r="V47" s="1"/>
      <c r="W47" s="1"/>
      <c r="X47" s="1"/>
      <c r="Y47" s="1"/>
      <c r="Z47" s="1"/>
      <c r="AA47" s="98"/>
      <c r="AB47" s="1"/>
    </row>
    <row r="48" spans="1:28">
      <c r="A48" s="1" t="s">
        <v>583</v>
      </c>
      <c r="B48" s="1" t="s">
        <v>372</v>
      </c>
      <c r="C48" s="1" t="s">
        <v>586</v>
      </c>
      <c r="D48" s="1">
        <v>3</v>
      </c>
      <c r="E48" s="188">
        <v>26500</v>
      </c>
      <c r="F48" s="188">
        <v>34450</v>
      </c>
      <c r="G48" s="188">
        <v>41340</v>
      </c>
      <c r="H48" s="188" t="str">
        <f t="shared" si="5"/>
        <v>Yes</v>
      </c>
      <c r="I48" s="189">
        <f t="shared" si="3"/>
        <v>0.05</v>
      </c>
      <c r="J48" s="187">
        <f t="shared" si="4"/>
        <v>0</v>
      </c>
      <c r="K48" s="1"/>
      <c r="L48" s="1"/>
      <c r="M48" s="1"/>
      <c r="N48" s="1"/>
      <c r="O48" s="1"/>
      <c r="P48" s="1"/>
      <c r="Q48" s="1"/>
      <c r="R48" s="1"/>
      <c r="S48" s="1"/>
      <c r="T48" s="1"/>
      <c r="U48" s="1"/>
      <c r="V48" s="1"/>
      <c r="W48" s="1"/>
      <c r="X48" s="1"/>
      <c r="Y48" s="1"/>
      <c r="Z48" s="1"/>
      <c r="AA48" s="98"/>
      <c r="AB48" s="1"/>
    </row>
    <row r="49" spans="1:28">
      <c r="A49" s="1" t="s">
        <v>583</v>
      </c>
      <c r="B49" s="1" t="s">
        <v>374</v>
      </c>
      <c r="C49" s="1" t="s">
        <v>587</v>
      </c>
      <c r="D49" s="1">
        <v>1</v>
      </c>
      <c r="E49" s="188">
        <v>20000</v>
      </c>
      <c r="F49" s="188">
        <v>26000</v>
      </c>
      <c r="G49" s="188">
        <v>31200</v>
      </c>
      <c r="H49" s="188" t="str">
        <f t="shared" si="5"/>
        <v>No</v>
      </c>
      <c r="I49" s="189">
        <f t="shared" si="3"/>
        <v>0</v>
      </c>
      <c r="J49" s="187">
        <f t="shared" si="4"/>
        <v>0</v>
      </c>
      <c r="K49" s="1"/>
      <c r="L49" s="1"/>
      <c r="M49" s="1"/>
      <c r="N49" s="1"/>
      <c r="O49" s="1"/>
      <c r="P49" s="1"/>
      <c r="Q49" s="1"/>
      <c r="R49" s="1"/>
      <c r="S49" s="1"/>
      <c r="T49" s="1"/>
      <c r="U49" s="1"/>
      <c r="V49" s="1"/>
      <c r="W49" s="1"/>
      <c r="X49" s="1"/>
      <c r="Y49" s="1"/>
      <c r="Z49" s="1"/>
      <c r="AA49" s="98"/>
      <c r="AB49" s="1"/>
    </row>
    <row r="50" spans="1:28">
      <c r="A50" s="1" t="s">
        <v>583</v>
      </c>
      <c r="B50" s="1" t="s">
        <v>376</v>
      </c>
      <c r="C50" s="1" t="s">
        <v>588</v>
      </c>
      <c r="D50" s="1">
        <v>2</v>
      </c>
      <c r="E50" s="188">
        <v>23000</v>
      </c>
      <c r="F50" s="188">
        <v>29900</v>
      </c>
      <c r="G50" s="188">
        <v>35880</v>
      </c>
      <c r="H50" s="188" t="str">
        <f t="shared" si="5"/>
        <v>No</v>
      </c>
      <c r="I50" s="189">
        <f t="shared" si="3"/>
        <v>0</v>
      </c>
      <c r="J50" s="187">
        <f t="shared" si="4"/>
        <v>0</v>
      </c>
      <c r="K50" s="1"/>
      <c r="L50" s="1"/>
      <c r="M50" s="1"/>
      <c r="N50" s="1"/>
      <c r="O50" s="1"/>
      <c r="P50" s="1"/>
      <c r="Q50" s="1"/>
      <c r="R50" s="1"/>
      <c r="S50" s="1"/>
      <c r="T50" s="1"/>
      <c r="U50" s="1"/>
      <c r="V50" s="1"/>
      <c r="W50" s="1"/>
      <c r="X50" s="1"/>
      <c r="Y50" s="1"/>
      <c r="Z50" s="1"/>
      <c r="AA50" s="98"/>
      <c r="AB50" s="1"/>
    </row>
    <row r="51" spans="1:28">
      <c r="A51" s="1" t="s">
        <v>583</v>
      </c>
      <c r="B51" s="1" t="s">
        <v>378</v>
      </c>
      <c r="C51" s="1" t="s">
        <v>589</v>
      </c>
      <c r="D51" s="1">
        <v>3</v>
      </c>
      <c r="E51" s="188">
        <v>26500</v>
      </c>
      <c r="F51" s="188">
        <v>34450</v>
      </c>
      <c r="G51" s="188">
        <v>41340</v>
      </c>
      <c r="H51" s="188" t="str">
        <f t="shared" si="5"/>
        <v>Yes</v>
      </c>
      <c r="I51" s="189">
        <f t="shared" si="3"/>
        <v>0.05</v>
      </c>
      <c r="J51" s="187">
        <f t="shared" si="4"/>
        <v>0</v>
      </c>
      <c r="K51" s="1"/>
      <c r="L51" s="1"/>
      <c r="M51" s="1"/>
      <c r="N51" s="1"/>
      <c r="O51" s="1"/>
      <c r="P51" s="1"/>
      <c r="Q51" s="1"/>
      <c r="R51" s="1"/>
      <c r="S51" s="1"/>
      <c r="T51" s="1"/>
      <c r="U51" s="1"/>
      <c r="V51" s="1"/>
      <c r="W51" s="1"/>
      <c r="X51" s="1"/>
      <c r="Y51" s="1"/>
      <c r="Z51" s="1"/>
      <c r="AA51" s="98"/>
      <c r="AB51" s="1"/>
    </row>
    <row r="52" spans="1:28">
      <c r="A52" s="1" t="s">
        <v>583</v>
      </c>
      <c r="B52" s="1" t="s">
        <v>380</v>
      </c>
      <c r="C52" s="1" t="s">
        <v>590</v>
      </c>
      <c r="D52" s="1">
        <v>1</v>
      </c>
      <c r="E52" s="188">
        <v>20000</v>
      </c>
      <c r="F52" s="188">
        <v>26000</v>
      </c>
      <c r="G52" s="188">
        <v>31200</v>
      </c>
      <c r="H52" s="188" t="str">
        <f t="shared" si="5"/>
        <v>No</v>
      </c>
      <c r="I52" s="189">
        <f t="shared" si="3"/>
        <v>0</v>
      </c>
      <c r="J52" s="187">
        <f t="shared" si="4"/>
        <v>0</v>
      </c>
      <c r="K52" s="1"/>
      <c r="L52" s="1"/>
      <c r="M52" s="1"/>
      <c r="N52" s="1"/>
      <c r="O52" s="1"/>
      <c r="P52" s="1"/>
      <c r="Q52" s="1"/>
      <c r="R52" s="1"/>
      <c r="S52" s="1"/>
      <c r="T52" s="1"/>
      <c r="U52" s="1"/>
      <c r="V52" s="1"/>
      <c r="W52" s="1"/>
      <c r="X52" s="1"/>
      <c r="Y52" s="1"/>
      <c r="Z52" s="1"/>
      <c r="AA52" s="98"/>
      <c r="AB52" s="1"/>
    </row>
    <row r="53" spans="1:28">
      <c r="A53" s="1" t="s">
        <v>583</v>
      </c>
      <c r="B53" s="1" t="s">
        <v>382</v>
      </c>
      <c r="C53" s="1" t="s">
        <v>591</v>
      </c>
      <c r="D53" s="1">
        <v>2</v>
      </c>
      <c r="E53" s="188">
        <v>23000</v>
      </c>
      <c r="F53" s="188">
        <v>29900</v>
      </c>
      <c r="G53" s="188">
        <v>35880</v>
      </c>
      <c r="H53" s="188" t="str">
        <f t="shared" si="5"/>
        <v>No</v>
      </c>
      <c r="I53" s="189">
        <f t="shared" si="3"/>
        <v>0</v>
      </c>
      <c r="J53" s="187">
        <f t="shared" si="4"/>
        <v>0</v>
      </c>
      <c r="K53" s="1"/>
      <c r="L53" s="1"/>
      <c r="M53" s="1"/>
      <c r="N53" s="1"/>
      <c r="O53" s="1"/>
      <c r="P53" s="1"/>
      <c r="Q53" s="1"/>
      <c r="R53" s="1"/>
      <c r="S53" s="1"/>
      <c r="T53" s="1"/>
      <c r="U53" s="1"/>
      <c r="V53" s="1"/>
      <c r="W53" s="1"/>
      <c r="X53" s="1"/>
      <c r="Y53" s="1"/>
      <c r="Z53" s="1"/>
      <c r="AA53" s="98"/>
      <c r="AB53" s="1"/>
    </row>
    <row r="54" spans="1:28">
      <c r="A54" s="1" t="s">
        <v>583</v>
      </c>
      <c r="B54" s="1" t="s">
        <v>384</v>
      </c>
      <c r="C54" s="1" t="s">
        <v>592</v>
      </c>
      <c r="D54" s="1">
        <v>3</v>
      </c>
      <c r="E54" s="188">
        <v>26500</v>
      </c>
      <c r="F54" s="188">
        <v>34450</v>
      </c>
      <c r="G54" s="188">
        <v>41340</v>
      </c>
      <c r="H54" s="188" t="str">
        <f t="shared" si="5"/>
        <v>Yes</v>
      </c>
      <c r="I54" s="189">
        <f t="shared" si="3"/>
        <v>0.05</v>
      </c>
      <c r="J54" s="187">
        <f t="shared" si="4"/>
        <v>0</v>
      </c>
      <c r="K54" s="1"/>
      <c r="L54" s="1"/>
      <c r="M54" s="1"/>
      <c r="N54" s="1"/>
      <c r="O54" s="1"/>
      <c r="P54" s="1"/>
      <c r="Q54" s="1"/>
      <c r="R54" s="1"/>
      <c r="S54" s="1"/>
      <c r="T54" s="1"/>
      <c r="U54" s="1"/>
      <c r="V54" s="1"/>
      <c r="W54" s="1"/>
      <c r="X54" s="1"/>
      <c r="Y54" s="1"/>
      <c r="Z54" s="1"/>
      <c r="AA54" s="98"/>
      <c r="AB54" s="1"/>
    </row>
    <row r="55" spans="1:28">
      <c r="A55" s="1" t="s">
        <v>583</v>
      </c>
      <c r="B55" s="1" t="s">
        <v>386</v>
      </c>
      <c r="C55" s="1" t="s">
        <v>593</v>
      </c>
      <c r="D55" s="1">
        <v>2</v>
      </c>
      <c r="E55" s="188">
        <v>23000</v>
      </c>
      <c r="F55" s="188">
        <v>29900</v>
      </c>
      <c r="G55" s="188">
        <v>35880</v>
      </c>
      <c r="H55" s="188" t="str">
        <f t="shared" si="5"/>
        <v>No</v>
      </c>
      <c r="I55" s="189">
        <f t="shared" si="3"/>
        <v>0</v>
      </c>
      <c r="J55" s="187">
        <f t="shared" si="4"/>
        <v>0</v>
      </c>
      <c r="K55" s="1"/>
      <c r="L55" s="1"/>
      <c r="M55" s="1"/>
      <c r="N55" s="1"/>
      <c r="O55" s="1"/>
      <c r="P55" s="1"/>
      <c r="Q55" s="1"/>
      <c r="R55" s="1"/>
      <c r="S55" s="1"/>
      <c r="T55" s="1"/>
      <c r="U55" s="1"/>
      <c r="V55" s="1"/>
      <c r="W55" s="1"/>
      <c r="X55" s="1"/>
      <c r="Y55" s="1"/>
      <c r="Z55" s="1"/>
      <c r="AA55" s="98"/>
      <c r="AB55" s="1"/>
    </row>
    <row r="56" spans="1:28">
      <c r="A56" s="1" t="s">
        <v>583</v>
      </c>
      <c r="B56" s="1" t="s">
        <v>390</v>
      </c>
      <c r="C56" s="1" t="s">
        <v>594</v>
      </c>
      <c r="D56" s="1">
        <v>2</v>
      </c>
      <c r="E56" s="188">
        <v>23000</v>
      </c>
      <c r="F56" s="188">
        <v>29900</v>
      </c>
      <c r="G56" s="188">
        <v>35880</v>
      </c>
      <c r="H56" s="188" t="str">
        <f t="shared" si="5"/>
        <v>No</v>
      </c>
      <c r="I56" s="189">
        <f t="shared" si="3"/>
        <v>0</v>
      </c>
      <c r="J56" s="187">
        <f t="shared" si="4"/>
        <v>0</v>
      </c>
      <c r="K56" s="1"/>
      <c r="L56" s="1"/>
      <c r="M56" s="1"/>
      <c r="N56" s="1"/>
      <c r="O56" s="1"/>
      <c r="P56" s="1"/>
      <c r="Q56" s="1"/>
      <c r="R56" s="1"/>
      <c r="S56" s="1"/>
      <c r="T56" s="1"/>
      <c r="U56" s="1"/>
      <c r="V56" s="1"/>
      <c r="W56" s="1"/>
      <c r="X56" s="1"/>
      <c r="Y56" s="1"/>
      <c r="Z56" s="1"/>
      <c r="AA56" s="98"/>
      <c r="AB56" s="1"/>
    </row>
    <row r="57" spans="1:28">
      <c r="A57" s="1" t="s">
        <v>583</v>
      </c>
      <c r="B57" s="1" t="s">
        <v>392</v>
      </c>
      <c r="C57" s="1" t="s">
        <v>595</v>
      </c>
      <c r="D57" s="1">
        <v>2</v>
      </c>
      <c r="E57" s="188">
        <v>23000</v>
      </c>
      <c r="F57" s="188">
        <v>29900</v>
      </c>
      <c r="G57" s="188">
        <v>35880</v>
      </c>
      <c r="H57" s="188" t="str">
        <f t="shared" si="5"/>
        <v>No</v>
      </c>
      <c r="I57" s="189">
        <f t="shared" si="3"/>
        <v>0</v>
      </c>
      <c r="J57" s="187">
        <f t="shared" si="4"/>
        <v>0</v>
      </c>
      <c r="K57" s="1"/>
      <c r="L57" s="1"/>
      <c r="M57" s="1"/>
      <c r="N57" s="1"/>
      <c r="O57" s="1"/>
      <c r="P57" s="1"/>
      <c r="Q57" s="1"/>
      <c r="R57" s="1"/>
      <c r="S57" s="1"/>
      <c r="T57" s="1"/>
      <c r="U57" s="1"/>
      <c r="V57" s="1"/>
      <c r="W57" s="1"/>
      <c r="X57" s="1"/>
      <c r="Y57" s="1"/>
      <c r="Z57" s="1"/>
      <c r="AA57" s="98"/>
      <c r="AB57" s="1"/>
    </row>
    <row r="58" spans="1:28">
      <c r="A58" s="1" t="s">
        <v>583</v>
      </c>
      <c r="B58" s="1" t="s">
        <v>394</v>
      </c>
      <c r="C58" s="1" t="s">
        <v>596</v>
      </c>
      <c r="D58" s="1">
        <v>6</v>
      </c>
      <c r="E58" s="188">
        <v>33000</v>
      </c>
      <c r="F58" s="188">
        <v>42900</v>
      </c>
      <c r="G58" s="188">
        <v>51480</v>
      </c>
      <c r="H58" s="188" t="str">
        <f t="shared" si="5"/>
        <v>Yes</v>
      </c>
      <c r="I58" s="189">
        <f t="shared" si="3"/>
        <v>0.1</v>
      </c>
      <c r="J58" s="187">
        <f t="shared" si="4"/>
        <v>0.1</v>
      </c>
      <c r="K58" s="1"/>
      <c r="L58" s="1"/>
      <c r="M58" s="1"/>
      <c r="N58" s="1"/>
      <c r="O58" s="1"/>
      <c r="P58" s="1"/>
      <c r="Q58" s="1"/>
      <c r="R58" s="1"/>
      <c r="S58" s="1"/>
      <c r="T58" s="1"/>
      <c r="U58" s="1"/>
      <c r="V58" s="1"/>
      <c r="W58" s="1"/>
      <c r="X58" s="1"/>
      <c r="Y58" s="1"/>
      <c r="Z58" s="1"/>
      <c r="AA58" s="98"/>
      <c r="AB58" s="1"/>
    </row>
    <row r="59" spans="1:28">
      <c r="A59" s="1" t="s">
        <v>583</v>
      </c>
      <c r="B59" s="1" t="s">
        <v>396</v>
      </c>
      <c r="C59" s="1" t="s">
        <v>597</v>
      </c>
      <c r="D59" s="1">
        <v>3</v>
      </c>
      <c r="E59" s="188">
        <v>26500</v>
      </c>
      <c r="F59" s="188">
        <v>34450</v>
      </c>
      <c r="G59" s="188">
        <v>41340</v>
      </c>
      <c r="H59" s="188" t="str">
        <f t="shared" si="5"/>
        <v>Yes</v>
      </c>
      <c r="I59" s="189">
        <f t="shared" si="3"/>
        <v>0.05</v>
      </c>
      <c r="J59" s="187">
        <f t="shared" si="4"/>
        <v>0</v>
      </c>
      <c r="K59" s="1"/>
      <c r="L59" s="1"/>
      <c r="M59" s="1"/>
      <c r="N59" s="1"/>
      <c r="O59" s="1"/>
      <c r="P59" s="1"/>
      <c r="Q59" s="1"/>
      <c r="R59" s="1"/>
      <c r="S59" s="1"/>
      <c r="T59" s="1"/>
      <c r="U59" s="1"/>
      <c r="V59" s="1"/>
      <c r="W59" s="1"/>
      <c r="X59" s="1"/>
      <c r="Y59" s="1"/>
      <c r="Z59" s="1"/>
      <c r="AA59" s="98"/>
      <c r="AB59" s="1"/>
    </row>
    <row r="60" spans="1:28">
      <c r="A60" s="1" t="s">
        <v>583</v>
      </c>
      <c r="B60" s="1" t="s">
        <v>398</v>
      </c>
      <c r="C60" s="1" t="s">
        <v>598</v>
      </c>
      <c r="D60" s="1">
        <v>3</v>
      </c>
      <c r="E60" s="188">
        <v>26500</v>
      </c>
      <c r="F60" s="188">
        <v>34450</v>
      </c>
      <c r="G60" s="188">
        <v>41340</v>
      </c>
      <c r="H60" s="188" t="str">
        <f t="shared" si="5"/>
        <v>Yes</v>
      </c>
      <c r="I60" s="189">
        <f t="shared" si="3"/>
        <v>0.05</v>
      </c>
      <c r="J60" s="187">
        <f t="shared" si="4"/>
        <v>0</v>
      </c>
      <c r="K60" s="1"/>
      <c r="L60" s="1"/>
      <c r="M60" s="1"/>
      <c r="N60" s="1"/>
      <c r="O60" s="1"/>
      <c r="P60" s="1"/>
      <c r="Q60" s="1"/>
      <c r="R60" s="1"/>
      <c r="S60" s="1"/>
      <c r="T60" s="1"/>
      <c r="U60" s="1"/>
      <c r="V60" s="1"/>
      <c r="W60" s="1"/>
      <c r="X60" s="1"/>
      <c r="Y60" s="1"/>
      <c r="Z60" s="1"/>
      <c r="AA60" s="98"/>
      <c r="AB60" s="1"/>
    </row>
    <row r="61" spans="1:28">
      <c r="A61" s="1" t="s">
        <v>583</v>
      </c>
      <c r="B61" s="1" t="s">
        <v>400</v>
      </c>
      <c r="C61" s="1" t="s">
        <v>599</v>
      </c>
      <c r="D61" s="1">
        <v>3</v>
      </c>
      <c r="E61" s="188">
        <v>26500</v>
      </c>
      <c r="F61" s="188">
        <v>34450</v>
      </c>
      <c r="G61" s="188">
        <v>41340</v>
      </c>
      <c r="H61" s="188" t="str">
        <f t="shared" si="5"/>
        <v>Yes</v>
      </c>
      <c r="I61" s="189">
        <f t="shared" si="3"/>
        <v>0.05</v>
      </c>
      <c r="J61" s="187">
        <f t="shared" si="4"/>
        <v>0</v>
      </c>
      <c r="K61" s="1"/>
      <c r="L61" s="1"/>
      <c r="M61" s="1"/>
      <c r="N61" s="1"/>
      <c r="O61" s="1"/>
      <c r="P61" s="1"/>
      <c r="Q61" s="1"/>
      <c r="R61" s="1"/>
      <c r="S61" s="1"/>
      <c r="T61" s="1"/>
      <c r="U61" s="1"/>
      <c r="V61" s="1"/>
      <c r="W61" s="1"/>
      <c r="X61" s="1"/>
      <c r="Y61" s="1"/>
      <c r="Z61" s="1"/>
      <c r="AA61" s="98"/>
      <c r="AB61" s="1"/>
    </row>
    <row r="62" spans="1:28">
      <c r="A62" s="1" t="s">
        <v>583</v>
      </c>
      <c r="B62" s="1" t="s">
        <v>402</v>
      </c>
      <c r="C62" s="1" t="s">
        <v>600</v>
      </c>
      <c r="D62" s="1">
        <v>1</v>
      </c>
      <c r="E62" s="188">
        <v>20000</v>
      </c>
      <c r="F62" s="188">
        <v>26000</v>
      </c>
      <c r="G62" s="188">
        <v>31200</v>
      </c>
      <c r="H62" s="188" t="str">
        <f t="shared" si="5"/>
        <v>No</v>
      </c>
      <c r="I62" s="189">
        <f t="shared" si="3"/>
        <v>0</v>
      </c>
      <c r="J62" s="187">
        <f t="shared" si="4"/>
        <v>0</v>
      </c>
      <c r="K62" s="1"/>
      <c r="L62" s="1"/>
      <c r="M62" s="1"/>
      <c r="N62" s="1"/>
      <c r="O62" s="1"/>
      <c r="P62" s="1"/>
      <c r="Q62" s="1"/>
      <c r="R62" s="1"/>
      <c r="S62" s="1"/>
      <c r="T62" s="1"/>
      <c r="U62" s="1"/>
      <c r="V62" s="1"/>
      <c r="W62" s="1"/>
      <c r="X62" s="1"/>
      <c r="Y62" s="1"/>
      <c r="Z62" s="1"/>
      <c r="AA62" s="98"/>
      <c r="AB62" s="1"/>
    </row>
    <row r="63" spans="1:28">
      <c r="A63" s="1" t="s">
        <v>583</v>
      </c>
      <c r="B63" s="1" t="s">
        <v>404</v>
      </c>
      <c r="C63" s="1" t="s">
        <v>601</v>
      </c>
      <c r="D63" s="1">
        <v>3</v>
      </c>
      <c r="E63" s="188">
        <v>26500</v>
      </c>
      <c r="F63" s="188">
        <v>34450</v>
      </c>
      <c r="G63" s="188">
        <v>41340</v>
      </c>
      <c r="H63" s="188" t="str">
        <f t="shared" si="5"/>
        <v>Yes</v>
      </c>
      <c r="I63" s="189">
        <f t="shared" si="3"/>
        <v>0.05</v>
      </c>
      <c r="J63" s="187">
        <f t="shared" si="4"/>
        <v>0</v>
      </c>
      <c r="K63" s="1"/>
      <c r="L63" s="1"/>
      <c r="M63" s="1"/>
      <c r="N63" s="1"/>
      <c r="O63" s="1"/>
      <c r="P63" s="1"/>
      <c r="Q63" s="1"/>
      <c r="R63" s="1"/>
      <c r="S63" s="1"/>
      <c r="T63" s="1"/>
      <c r="U63" s="1"/>
      <c r="V63" s="1"/>
      <c r="W63" s="1"/>
      <c r="X63" s="1"/>
      <c r="Y63" s="1"/>
      <c r="Z63" s="1"/>
      <c r="AA63" s="98"/>
      <c r="AB63" s="1"/>
    </row>
    <row r="64" spans="1:28">
      <c r="A64" s="1" t="s">
        <v>583</v>
      </c>
      <c r="B64" s="1" t="s">
        <v>406</v>
      </c>
      <c r="C64" s="1" t="s">
        <v>602</v>
      </c>
      <c r="D64" s="1">
        <v>3</v>
      </c>
      <c r="E64" s="188">
        <v>26500</v>
      </c>
      <c r="F64" s="188">
        <v>34450</v>
      </c>
      <c r="G64" s="188">
        <v>41340</v>
      </c>
      <c r="H64" s="188" t="str">
        <f t="shared" si="5"/>
        <v>Yes</v>
      </c>
      <c r="I64" s="189">
        <f t="shared" si="3"/>
        <v>0.05</v>
      </c>
      <c r="J64" s="187">
        <f t="shared" si="4"/>
        <v>0</v>
      </c>
      <c r="K64" s="1"/>
      <c r="L64" s="1"/>
      <c r="M64" s="1"/>
      <c r="N64" s="1"/>
      <c r="O64" s="1"/>
      <c r="P64" s="1"/>
      <c r="Q64" s="1"/>
      <c r="R64" s="1"/>
      <c r="S64" s="1"/>
      <c r="T64" s="1"/>
      <c r="U64" s="1"/>
      <c r="V64" s="1"/>
      <c r="W64" s="1"/>
      <c r="X64" s="1"/>
      <c r="Y64" s="1"/>
      <c r="Z64" s="1"/>
      <c r="AA64" s="98"/>
      <c r="AB64" s="1"/>
    </row>
    <row r="65" spans="1:28">
      <c r="A65" s="1" t="s">
        <v>583</v>
      </c>
      <c r="B65" s="1" t="s">
        <v>408</v>
      </c>
      <c r="C65" s="1" t="s">
        <v>603</v>
      </c>
      <c r="D65" s="1">
        <v>5</v>
      </c>
      <c r="E65" s="188">
        <v>29000</v>
      </c>
      <c r="F65" s="188">
        <v>37700</v>
      </c>
      <c r="G65" s="188">
        <v>45240</v>
      </c>
      <c r="H65" s="188" t="str">
        <f t="shared" si="5"/>
        <v>Yes</v>
      </c>
      <c r="I65" s="189">
        <f t="shared" si="3"/>
        <v>0.1</v>
      </c>
      <c r="J65" s="187">
        <f t="shared" si="4"/>
        <v>0.05</v>
      </c>
      <c r="K65" s="1"/>
      <c r="L65" s="1"/>
      <c r="M65" s="1"/>
      <c r="N65" s="1"/>
      <c r="O65" s="1"/>
      <c r="P65" s="1"/>
      <c r="Q65" s="1"/>
      <c r="R65" s="1"/>
      <c r="S65" s="1"/>
      <c r="T65" s="1"/>
      <c r="U65" s="1"/>
      <c r="V65" s="1"/>
      <c r="W65" s="1"/>
      <c r="X65" s="1"/>
      <c r="Y65" s="1"/>
      <c r="Z65" s="1"/>
      <c r="AA65" s="98"/>
      <c r="AB65" s="1"/>
    </row>
    <row r="66" spans="1:28">
      <c r="A66" s="1" t="s">
        <v>583</v>
      </c>
      <c r="B66" s="1" t="s">
        <v>410</v>
      </c>
      <c r="C66" s="1" t="s">
        <v>604</v>
      </c>
      <c r="D66" s="1">
        <v>1</v>
      </c>
      <c r="E66" s="188">
        <v>20000</v>
      </c>
      <c r="F66" s="188">
        <v>26000</v>
      </c>
      <c r="G66" s="188">
        <v>31200</v>
      </c>
      <c r="H66" s="188" t="str">
        <f t="shared" si="5"/>
        <v>No</v>
      </c>
      <c r="I66" s="189">
        <f t="shared" ref="I66:I97" si="6">VLOOKUP(D66,$L$1:$M$7,2,FALSE)</f>
        <v>0</v>
      </c>
      <c r="J66" s="187">
        <f t="shared" ref="J66:J97" si="7">VLOOKUP(D66,$L$1:$N$7,3,FALSE)</f>
        <v>0</v>
      </c>
      <c r="K66" s="1"/>
      <c r="L66" s="1"/>
      <c r="M66" s="1"/>
      <c r="N66" s="1"/>
      <c r="O66" s="1"/>
      <c r="P66" s="1"/>
      <c r="Q66" s="1"/>
      <c r="R66" s="1"/>
      <c r="S66" s="1"/>
      <c r="T66" s="1"/>
      <c r="U66" s="1"/>
      <c r="V66" s="1"/>
      <c r="W66" s="1"/>
      <c r="X66" s="1"/>
      <c r="Y66" s="1"/>
      <c r="Z66" s="1"/>
      <c r="AA66" s="98"/>
      <c r="AB66" s="1"/>
    </row>
    <row r="67" spans="1:28">
      <c r="A67" s="1" t="s">
        <v>583</v>
      </c>
      <c r="B67" s="1" t="s">
        <v>412</v>
      </c>
      <c r="C67" s="1" t="s">
        <v>605</v>
      </c>
      <c r="D67" s="1">
        <v>3</v>
      </c>
      <c r="E67" s="188">
        <v>26500</v>
      </c>
      <c r="F67" s="188">
        <v>34450</v>
      </c>
      <c r="G67" s="188">
        <v>41340</v>
      </c>
      <c r="H67" s="188" t="str">
        <f t="shared" si="5"/>
        <v>Yes</v>
      </c>
      <c r="I67" s="189">
        <f t="shared" si="6"/>
        <v>0.05</v>
      </c>
      <c r="J67" s="187">
        <f t="shared" si="7"/>
        <v>0</v>
      </c>
      <c r="K67" s="1"/>
      <c r="L67" s="1"/>
      <c r="M67" s="1"/>
      <c r="N67" s="1"/>
      <c r="O67" s="1"/>
      <c r="P67" s="1"/>
      <c r="Q67" s="1"/>
      <c r="R67" s="1"/>
      <c r="S67" s="1"/>
      <c r="T67" s="1"/>
      <c r="U67" s="1"/>
      <c r="V67" s="1"/>
      <c r="W67" s="1"/>
      <c r="X67" s="1"/>
      <c r="Y67" s="1"/>
      <c r="Z67" s="1"/>
      <c r="AA67" s="98"/>
      <c r="AB67" s="1"/>
    </row>
    <row r="68" spans="1:28">
      <c r="A68" s="1" t="s">
        <v>583</v>
      </c>
      <c r="B68" s="1" t="s">
        <v>417</v>
      </c>
      <c r="C68" s="1" t="s">
        <v>606</v>
      </c>
      <c r="D68" s="1">
        <v>4</v>
      </c>
      <c r="E68" s="188">
        <v>27000</v>
      </c>
      <c r="F68" s="188">
        <v>35100</v>
      </c>
      <c r="G68" s="188">
        <v>42120</v>
      </c>
      <c r="H68" s="188" t="str">
        <f t="shared" si="5"/>
        <v>Yes</v>
      </c>
      <c r="I68" s="189">
        <f t="shared" si="6"/>
        <v>0.05</v>
      </c>
      <c r="J68" s="187">
        <f t="shared" si="7"/>
        <v>0</v>
      </c>
      <c r="K68" s="1"/>
      <c r="L68" s="1"/>
      <c r="M68" s="1"/>
      <c r="N68" s="1"/>
      <c r="O68" s="1"/>
      <c r="P68" s="1"/>
      <c r="Q68" s="1"/>
      <c r="R68" s="1"/>
      <c r="S68" s="1"/>
      <c r="T68" s="1"/>
      <c r="U68" s="1"/>
      <c r="V68" s="1"/>
      <c r="W68" s="1"/>
      <c r="X68" s="1"/>
      <c r="Y68" s="1"/>
      <c r="Z68" s="1"/>
      <c r="AA68" s="98"/>
      <c r="AB68" s="1"/>
    </row>
    <row r="69" spans="1:28">
      <c r="A69" s="1" t="s">
        <v>583</v>
      </c>
      <c r="B69" s="1" t="s">
        <v>419</v>
      </c>
      <c r="C69" s="1" t="s">
        <v>607</v>
      </c>
      <c r="D69" s="1">
        <v>3</v>
      </c>
      <c r="E69" s="188">
        <v>26500</v>
      </c>
      <c r="F69" s="188">
        <v>34450</v>
      </c>
      <c r="G69" s="188">
        <v>41340</v>
      </c>
      <c r="H69" s="188" t="str">
        <f t="shared" si="5"/>
        <v>Yes</v>
      </c>
      <c r="I69" s="189">
        <f t="shared" si="6"/>
        <v>0.05</v>
      </c>
      <c r="J69" s="187">
        <f t="shared" si="7"/>
        <v>0</v>
      </c>
      <c r="K69" s="1"/>
      <c r="L69" s="1"/>
      <c r="M69" s="1"/>
      <c r="N69" s="1"/>
      <c r="O69" s="1"/>
      <c r="P69" s="1"/>
      <c r="Q69" s="1"/>
      <c r="R69" s="1"/>
      <c r="S69" s="1"/>
      <c r="T69" s="1"/>
      <c r="U69" s="1"/>
      <c r="V69" s="1"/>
      <c r="W69" s="1"/>
      <c r="X69" s="1"/>
      <c r="Y69" s="1"/>
      <c r="Z69" s="1"/>
      <c r="AA69" s="98"/>
      <c r="AB69" s="1"/>
    </row>
    <row r="70" spans="1:28">
      <c r="A70" s="1" t="s">
        <v>583</v>
      </c>
      <c r="B70" s="1" t="s">
        <v>421</v>
      </c>
      <c r="C70" s="1" t="s">
        <v>608</v>
      </c>
      <c r="D70" s="1">
        <v>3</v>
      </c>
      <c r="E70" s="188">
        <v>26500</v>
      </c>
      <c r="F70" s="188">
        <v>34450</v>
      </c>
      <c r="G70" s="188">
        <v>41340</v>
      </c>
      <c r="H70" s="188" t="str">
        <f t="shared" ref="H70:H101" si="8">IF(OR(D70=3,D70&gt;3),"Yes","No")</f>
        <v>Yes</v>
      </c>
      <c r="I70" s="189">
        <f t="shared" si="6"/>
        <v>0.05</v>
      </c>
      <c r="J70" s="187">
        <f t="shared" si="7"/>
        <v>0</v>
      </c>
      <c r="K70" s="1"/>
      <c r="L70" s="1"/>
      <c r="M70" s="1"/>
      <c r="N70" s="1"/>
      <c r="O70" s="1"/>
      <c r="P70" s="1"/>
      <c r="Q70" s="1"/>
      <c r="R70" s="1"/>
      <c r="S70" s="1"/>
      <c r="T70" s="1"/>
      <c r="U70" s="1"/>
      <c r="V70" s="1"/>
      <c r="W70" s="1"/>
      <c r="X70" s="1"/>
      <c r="Y70" s="1"/>
      <c r="Z70" s="1"/>
      <c r="AA70" s="98"/>
      <c r="AB70" s="1"/>
    </row>
    <row r="71" spans="1:28">
      <c r="A71" s="1" t="s">
        <v>583</v>
      </c>
      <c r="B71" s="1" t="s">
        <v>423</v>
      </c>
      <c r="C71" s="1" t="s">
        <v>609</v>
      </c>
      <c r="D71" s="1">
        <v>4</v>
      </c>
      <c r="E71" s="188">
        <v>27000</v>
      </c>
      <c r="F71" s="188">
        <v>35100</v>
      </c>
      <c r="G71" s="188">
        <v>42120</v>
      </c>
      <c r="H71" s="188" t="str">
        <f t="shared" si="8"/>
        <v>Yes</v>
      </c>
      <c r="I71" s="189">
        <f t="shared" si="6"/>
        <v>0.05</v>
      </c>
      <c r="J71" s="187">
        <f t="shared" si="7"/>
        <v>0</v>
      </c>
      <c r="K71" s="1"/>
      <c r="L71" s="1"/>
      <c r="M71" s="1"/>
      <c r="N71" s="1"/>
      <c r="O71" s="1"/>
      <c r="P71" s="1"/>
      <c r="Q71" s="1"/>
      <c r="R71" s="1"/>
      <c r="S71" s="1"/>
      <c r="T71" s="1"/>
      <c r="U71" s="1"/>
      <c r="V71" s="1"/>
      <c r="W71" s="1"/>
      <c r="X71" s="1"/>
      <c r="Y71" s="1"/>
      <c r="Z71" s="1"/>
      <c r="AA71" s="98"/>
      <c r="AB71" s="1"/>
    </row>
    <row r="72" spans="1:28">
      <c r="A72" s="1" t="s">
        <v>583</v>
      </c>
      <c r="B72" s="1" t="s">
        <v>425</v>
      </c>
      <c r="C72" s="1" t="s">
        <v>610</v>
      </c>
      <c r="D72" s="1">
        <v>3</v>
      </c>
      <c r="E72" s="188">
        <v>26500</v>
      </c>
      <c r="F72" s="188">
        <v>34450</v>
      </c>
      <c r="G72" s="188">
        <v>41340</v>
      </c>
      <c r="H72" s="188" t="str">
        <f t="shared" si="8"/>
        <v>Yes</v>
      </c>
      <c r="I72" s="189">
        <f t="shared" si="6"/>
        <v>0.05</v>
      </c>
      <c r="J72" s="187">
        <f t="shared" si="7"/>
        <v>0</v>
      </c>
      <c r="K72" s="1"/>
      <c r="L72" s="1"/>
      <c r="M72" s="1"/>
      <c r="N72" s="1"/>
      <c r="O72" s="1"/>
      <c r="P72" s="1"/>
      <c r="Q72" s="1"/>
      <c r="R72" s="1"/>
      <c r="S72" s="1"/>
      <c r="T72" s="1"/>
      <c r="U72" s="1"/>
      <c r="V72" s="1"/>
      <c r="W72" s="1"/>
      <c r="X72" s="1"/>
      <c r="Y72" s="1"/>
      <c r="Z72" s="1"/>
      <c r="AA72" s="98"/>
      <c r="AB72" s="1"/>
    </row>
    <row r="73" spans="1:28">
      <c r="A73" s="1" t="s">
        <v>583</v>
      </c>
      <c r="B73" s="1" t="s">
        <v>430</v>
      </c>
      <c r="C73" s="1" t="s">
        <v>611</v>
      </c>
      <c r="D73" s="1">
        <v>3</v>
      </c>
      <c r="E73" s="188">
        <v>26500</v>
      </c>
      <c r="F73" s="188">
        <v>34450</v>
      </c>
      <c r="G73" s="188">
        <v>41340</v>
      </c>
      <c r="H73" s="188" t="str">
        <f t="shared" si="8"/>
        <v>Yes</v>
      </c>
      <c r="I73" s="189">
        <f t="shared" si="6"/>
        <v>0.05</v>
      </c>
      <c r="J73" s="187">
        <f t="shared" si="7"/>
        <v>0</v>
      </c>
      <c r="K73" s="1"/>
      <c r="L73" s="1"/>
      <c r="M73" s="1"/>
      <c r="N73" s="1"/>
      <c r="O73" s="1"/>
      <c r="P73" s="1"/>
      <c r="Q73" s="1"/>
      <c r="R73" s="1"/>
      <c r="S73" s="1"/>
      <c r="T73" s="1"/>
      <c r="U73" s="1"/>
      <c r="V73" s="1"/>
      <c r="W73" s="1"/>
      <c r="X73" s="1"/>
      <c r="Y73" s="1"/>
      <c r="Z73" s="1"/>
      <c r="AA73" s="98"/>
      <c r="AB73" s="1"/>
    </row>
    <row r="74" spans="1:28">
      <c r="A74" s="1" t="s">
        <v>583</v>
      </c>
      <c r="B74" s="1" t="s">
        <v>432</v>
      </c>
      <c r="C74" s="1" t="s">
        <v>612</v>
      </c>
      <c r="D74" s="1">
        <v>6</v>
      </c>
      <c r="E74" s="188">
        <v>33000</v>
      </c>
      <c r="F74" s="188">
        <v>42900</v>
      </c>
      <c r="G74" s="188">
        <v>51480</v>
      </c>
      <c r="H74" s="188" t="str">
        <f t="shared" si="8"/>
        <v>Yes</v>
      </c>
      <c r="I74" s="189">
        <f t="shared" si="6"/>
        <v>0.1</v>
      </c>
      <c r="J74" s="187">
        <f t="shared" si="7"/>
        <v>0.1</v>
      </c>
      <c r="K74" s="1"/>
      <c r="L74" s="1"/>
      <c r="M74" s="1"/>
      <c r="N74" s="1"/>
      <c r="O74" s="1"/>
      <c r="P74" s="1"/>
      <c r="Q74" s="1"/>
      <c r="R74" s="1"/>
      <c r="S74" s="1"/>
      <c r="T74" s="1"/>
      <c r="U74" s="1"/>
      <c r="V74" s="1"/>
      <c r="W74" s="1"/>
      <c r="X74" s="1"/>
      <c r="Y74" s="1"/>
      <c r="Z74" s="1"/>
      <c r="AA74" s="98"/>
      <c r="AB74" s="1"/>
    </row>
    <row r="75" spans="1:28">
      <c r="A75" s="1" t="s">
        <v>583</v>
      </c>
      <c r="B75" s="1" t="s">
        <v>434</v>
      </c>
      <c r="C75" s="1" t="s">
        <v>613</v>
      </c>
      <c r="D75" s="1">
        <v>6</v>
      </c>
      <c r="E75" s="188">
        <v>33000</v>
      </c>
      <c r="F75" s="188">
        <v>42900</v>
      </c>
      <c r="G75" s="188">
        <v>51480</v>
      </c>
      <c r="H75" s="188" t="str">
        <f t="shared" si="8"/>
        <v>Yes</v>
      </c>
      <c r="I75" s="189">
        <f t="shared" si="6"/>
        <v>0.1</v>
      </c>
      <c r="J75" s="187">
        <f t="shared" si="7"/>
        <v>0.1</v>
      </c>
      <c r="K75" s="1"/>
      <c r="L75" s="1"/>
      <c r="M75" s="1"/>
      <c r="N75" s="1"/>
      <c r="O75" s="1"/>
      <c r="P75" s="1"/>
      <c r="Q75" s="1"/>
      <c r="R75" s="1"/>
      <c r="S75" s="1"/>
      <c r="T75" s="1"/>
      <c r="U75" s="1"/>
      <c r="V75" s="1"/>
      <c r="W75" s="1"/>
      <c r="X75" s="1"/>
      <c r="Y75" s="1"/>
      <c r="Z75" s="1"/>
      <c r="AA75" s="98"/>
      <c r="AB75" s="1"/>
    </row>
    <row r="76" spans="1:28">
      <c r="A76" s="1" t="s">
        <v>583</v>
      </c>
      <c r="B76" s="1" t="s">
        <v>436</v>
      </c>
      <c r="C76" s="1" t="s">
        <v>614</v>
      </c>
      <c r="D76" s="1">
        <v>6</v>
      </c>
      <c r="E76" s="188">
        <v>33000</v>
      </c>
      <c r="F76" s="188">
        <v>42900</v>
      </c>
      <c r="G76" s="188">
        <v>51480</v>
      </c>
      <c r="H76" s="188" t="str">
        <f t="shared" si="8"/>
        <v>Yes</v>
      </c>
      <c r="I76" s="189">
        <f t="shared" si="6"/>
        <v>0.1</v>
      </c>
      <c r="J76" s="187">
        <f t="shared" si="7"/>
        <v>0.1</v>
      </c>
      <c r="K76" s="1"/>
      <c r="L76" s="1"/>
      <c r="M76" s="1"/>
      <c r="N76" s="1"/>
      <c r="O76" s="1"/>
      <c r="P76" s="1"/>
      <c r="Q76" s="1"/>
      <c r="R76" s="1"/>
      <c r="S76" s="1"/>
      <c r="T76" s="1"/>
      <c r="U76" s="1"/>
      <c r="V76" s="1"/>
      <c r="W76" s="1"/>
      <c r="X76" s="1"/>
      <c r="Y76" s="1"/>
      <c r="Z76" s="1"/>
      <c r="AA76" s="98"/>
      <c r="AB76" s="1"/>
    </row>
    <row r="77" spans="1:28">
      <c r="A77" s="1" t="s">
        <v>583</v>
      </c>
      <c r="B77" s="1" t="s">
        <v>438</v>
      </c>
      <c r="C77" s="1" t="s">
        <v>615</v>
      </c>
      <c r="D77" s="1">
        <v>6</v>
      </c>
      <c r="E77" s="188">
        <v>33000</v>
      </c>
      <c r="F77" s="188">
        <v>42900</v>
      </c>
      <c r="G77" s="188">
        <v>51480</v>
      </c>
      <c r="H77" s="188" t="str">
        <f t="shared" si="8"/>
        <v>Yes</v>
      </c>
      <c r="I77" s="189">
        <f t="shared" si="6"/>
        <v>0.1</v>
      </c>
      <c r="J77" s="187">
        <f t="shared" si="7"/>
        <v>0.1</v>
      </c>
      <c r="K77" s="1"/>
      <c r="L77" s="1"/>
      <c r="M77" s="1"/>
      <c r="N77" s="1"/>
      <c r="O77" s="1"/>
      <c r="P77" s="1"/>
      <c r="Q77" s="1"/>
      <c r="R77" s="1"/>
      <c r="S77" s="1"/>
      <c r="T77" s="1"/>
      <c r="U77" s="1"/>
      <c r="V77" s="1"/>
      <c r="W77" s="1"/>
      <c r="X77" s="1"/>
      <c r="Y77" s="1"/>
      <c r="Z77" s="1"/>
      <c r="AA77" s="98"/>
      <c r="AB77" s="1"/>
    </row>
    <row r="78" spans="1:28">
      <c r="A78" s="1" t="s">
        <v>583</v>
      </c>
      <c r="B78" s="1" t="s">
        <v>440</v>
      </c>
      <c r="C78" s="1" t="s">
        <v>616</v>
      </c>
      <c r="D78" s="1">
        <v>6</v>
      </c>
      <c r="E78" s="188">
        <v>33000</v>
      </c>
      <c r="F78" s="188">
        <v>42900</v>
      </c>
      <c r="G78" s="188">
        <v>51480</v>
      </c>
      <c r="H78" s="188" t="str">
        <f t="shared" si="8"/>
        <v>Yes</v>
      </c>
      <c r="I78" s="189">
        <f t="shared" si="6"/>
        <v>0.1</v>
      </c>
      <c r="J78" s="187">
        <f t="shared" si="7"/>
        <v>0.1</v>
      </c>
      <c r="K78" s="1"/>
      <c r="L78" s="1"/>
      <c r="M78" s="1"/>
      <c r="N78" s="1"/>
      <c r="O78" s="1"/>
      <c r="P78" s="1"/>
      <c r="Q78" s="1"/>
      <c r="R78" s="1"/>
      <c r="S78" s="1"/>
      <c r="T78" s="1"/>
      <c r="U78" s="1"/>
      <c r="V78" s="1"/>
      <c r="W78" s="1"/>
      <c r="X78" s="1"/>
      <c r="Y78" s="1"/>
      <c r="Z78" s="1"/>
      <c r="AA78" s="98"/>
      <c r="AB78" s="1"/>
    </row>
    <row r="79" spans="1:28">
      <c r="A79" s="1" t="s">
        <v>583</v>
      </c>
      <c r="B79" s="1" t="s">
        <v>442</v>
      </c>
      <c r="C79" s="1" t="s">
        <v>617</v>
      </c>
      <c r="D79" s="1">
        <v>6</v>
      </c>
      <c r="E79" s="188">
        <v>33000</v>
      </c>
      <c r="F79" s="188">
        <v>42900</v>
      </c>
      <c r="G79" s="188">
        <v>51480</v>
      </c>
      <c r="H79" s="188" t="str">
        <f t="shared" si="8"/>
        <v>Yes</v>
      </c>
      <c r="I79" s="189">
        <f t="shared" si="6"/>
        <v>0.1</v>
      </c>
      <c r="J79" s="187">
        <f t="shared" si="7"/>
        <v>0.1</v>
      </c>
      <c r="K79" s="1"/>
      <c r="L79" s="1"/>
      <c r="M79" s="1"/>
      <c r="N79" s="1"/>
      <c r="O79" s="1"/>
      <c r="P79" s="1"/>
      <c r="Q79" s="1"/>
      <c r="R79" s="1"/>
      <c r="S79" s="1"/>
      <c r="T79" s="1"/>
      <c r="U79" s="1"/>
      <c r="V79" s="1"/>
      <c r="W79" s="1"/>
      <c r="X79" s="1"/>
      <c r="Y79" s="1"/>
      <c r="Z79" s="1"/>
      <c r="AA79" s="98"/>
      <c r="AB79" s="1"/>
    </row>
    <row r="80" spans="1:28">
      <c r="A80" s="1" t="s">
        <v>583</v>
      </c>
      <c r="B80" s="1" t="s">
        <v>444</v>
      </c>
      <c r="C80" s="1" t="s">
        <v>618</v>
      </c>
      <c r="D80" s="1">
        <v>4</v>
      </c>
      <c r="E80" s="188">
        <v>27000</v>
      </c>
      <c r="F80" s="188">
        <v>35100</v>
      </c>
      <c r="G80" s="188">
        <v>42120</v>
      </c>
      <c r="H80" s="188" t="str">
        <f t="shared" si="8"/>
        <v>Yes</v>
      </c>
      <c r="I80" s="189">
        <f t="shared" si="6"/>
        <v>0.05</v>
      </c>
      <c r="J80" s="187">
        <f t="shared" si="7"/>
        <v>0</v>
      </c>
      <c r="K80" s="1"/>
      <c r="L80" s="1"/>
      <c r="M80" s="1"/>
      <c r="N80" s="1"/>
      <c r="O80" s="1"/>
      <c r="P80" s="1"/>
      <c r="Q80" s="1"/>
      <c r="R80" s="1"/>
      <c r="S80" s="1"/>
      <c r="T80" s="1"/>
      <c r="U80" s="1"/>
      <c r="V80" s="1"/>
      <c r="W80" s="1"/>
      <c r="X80" s="1"/>
      <c r="Y80" s="1"/>
      <c r="Z80" s="1"/>
      <c r="AA80" s="98"/>
      <c r="AB80" s="1"/>
    </row>
    <row r="81" spans="1:28">
      <c r="A81" s="1" t="s">
        <v>583</v>
      </c>
      <c r="B81" s="1" t="s">
        <v>446</v>
      </c>
      <c r="C81" s="1" t="s">
        <v>619</v>
      </c>
      <c r="D81" s="1">
        <v>6</v>
      </c>
      <c r="E81" s="188">
        <v>33000</v>
      </c>
      <c r="F81" s="188">
        <v>42900</v>
      </c>
      <c r="G81" s="188">
        <v>51480</v>
      </c>
      <c r="H81" s="188" t="str">
        <f t="shared" si="8"/>
        <v>Yes</v>
      </c>
      <c r="I81" s="189">
        <f t="shared" si="6"/>
        <v>0.1</v>
      </c>
      <c r="J81" s="187">
        <f t="shared" si="7"/>
        <v>0.1</v>
      </c>
      <c r="K81" s="1"/>
      <c r="L81" s="1"/>
      <c r="M81" s="1"/>
      <c r="N81" s="1"/>
      <c r="O81" s="1"/>
      <c r="P81" s="1"/>
      <c r="Q81" s="1"/>
      <c r="R81" s="1"/>
      <c r="S81" s="1"/>
      <c r="T81" s="1"/>
      <c r="U81" s="1"/>
      <c r="V81" s="1"/>
      <c r="W81" s="1"/>
      <c r="X81" s="1"/>
      <c r="Y81" s="1"/>
      <c r="Z81" s="1"/>
      <c r="AA81" s="98"/>
      <c r="AB81" s="1"/>
    </row>
    <row r="82" spans="1:28">
      <c r="A82" s="1" t="s">
        <v>583</v>
      </c>
      <c r="B82" s="1" t="s">
        <v>494</v>
      </c>
      <c r="C82" s="1" t="s">
        <v>620</v>
      </c>
      <c r="D82" s="1">
        <v>4</v>
      </c>
      <c r="E82" s="188">
        <v>27000</v>
      </c>
      <c r="F82" s="188">
        <v>35100</v>
      </c>
      <c r="G82" s="188">
        <v>42120</v>
      </c>
      <c r="H82" s="188" t="str">
        <f t="shared" si="8"/>
        <v>Yes</v>
      </c>
      <c r="I82" s="189">
        <f t="shared" si="6"/>
        <v>0.05</v>
      </c>
      <c r="J82" s="187">
        <f t="shared" si="7"/>
        <v>0</v>
      </c>
      <c r="K82" s="1"/>
      <c r="L82" s="1"/>
      <c r="M82" s="1"/>
      <c r="N82" s="1"/>
      <c r="O82" s="1"/>
      <c r="P82" s="1"/>
      <c r="Q82" s="1"/>
      <c r="R82" s="1"/>
      <c r="S82" s="1"/>
      <c r="T82" s="1"/>
      <c r="U82" s="1"/>
      <c r="V82" s="1"/>
      <c r="W82" s="1"/>
      <c r="X82" s="1"/>
      <c r="Y82" s="1"/>
      <c r="Z82" s="1"/>
      <c r="AA82" s="98"/>
      <c r="AB82" s="1"/>
    </row>
    <row r="83" spans="1:28">
      <c r="A83" s="1" t="s">
        <v>195</v>
      </c>
      <c r="B83" s="1" t="s">
        <v>196</v>
      </c>
      <c r="C83" s="1" t="s">
        <v>621</v>
      </c>
      <c r="D83" s="1">
        <v>1</v>
      </c>
      <c r="E83" s="188">
        <v>20000</v>
      </c>
      <c r="F83" s="188">
        <v>26000</v>
      </c>
      <c r="G83" s="188">
        <v>31200</v>
      </c>
      <c r="H83" s="188" t="str">
        <f t="shared" si="8"/>
        <v>No</v>
      </c>
      <c r="I83" s="189">
        <f t="shared" si="6"/>
        <v>0</v>
      </c>
      <c r="J83" s="187">
        <f t="shared" si="7"/>
        <v>0</v>
      </c>
      <c r="K83" s="1"/>
      <c r="L83" s="1"/>
      <c r="M83" s="1"/>
      <c r="N83" s="1"/>
      <c r="O83" s="1"/>
      <c r="P83" s="1"/>
      <c r="Q83" s="1"/>
      <c r="R83" s="1"/>
      <c r="S83" s="1"/>
      <c r="T83" s="1"/>
      <c r="U83" s="1"/>
      <c r="V83" s="1"/>
      <c r="W83" s="1"/>
      <c r="X83" s="1"/>
      <c r="Y83" s="1"/>
      <c r="Z83" s="1"/>
      <c r="AA83" s="98"/>
      <c r="AB83" s="1"/>
    </row>
    <row r="84" spans="1:28">
      <c r="A84" s="1" t="s">
        <v>195</v>
      </c>
      <c r="B84" s="1" t="s">
        <v>227</v>
      </c>
      <c r="C84" s="1" t="s">
        <v>622</v>
      </c>
      <c r="D84" s="1">
        <v>4</v>
      </c>
      <c r="E84" s="188">
        <v>27000</v>
      </c>
      <c r="F84" s="188">
        <v>35100</v>
      </c>
      <c r="G84" s="188">
        <v>42120</v>
      </c>
      <c r="H84" s="188" t="str">
        <f t="shared" si="8"/>
        <v>Yes</v>
      </c>
      <c r="I84" s="189">
        <f t="shared" si="6"/>
        <v>0.05</v>
      </c>
      <c r="J84" s="187">
        <f t="shared" si="7"/>
        <v>0</v>
      </c>
      <c r="K84" s="1"/>
      <c r="L84" s="1"/>
      <c r="M84" s="1"/>
      <c r="N84" s="1"/>
      <c r="O84" s="1"/>
      <c r="P84" s="1"/>
      <c r="Q84" s="1"/>
      <c r="R84" s="1"/>
      <c r="S84" s="1"/>
      <c r="T84" s="1"/>
      <c r="U84" s="1"/>
      <c r="V84" s="1"/>
      <c r="W84" s="1"/>
      <c r="X84" s="1"/>
      <c r="Y84" s="1"/>
      <c r="Z84" s="1"/>
      <c r="AA84" s="98"/>
      <c r="AB84" s="1"/>
    </row>
    <row r="85" spans="1:28">
      <c r="A85" s="1" t="s">
        <v>195</v>
      </c>
      <c r="B85" s="1" t="s">
        <v>229</v>
      </c>
      <c r="C85" s="1" t="s">
        <v>623</v>
      </c>
      <c r="D85" s="1">
        <v>3</v>
      </c>
      <c r="E85" s="188">
        <v>26500</v>
      </c>
      <c r="F85" s="188">
        <v>34450</v>
      </c>
      <c r="G85" s="188">
        <v>41340</v>
      </c>
      <c r="H85" s="188" t="str">
        <f t="shared" si="8"/>
        <v>Yes</v>
      </c>
      <c r="I85" s="189">
        <f t="shared" si="6"/>
        <v>0.05</v>
      </c>
      <c r="J85" s="187">
        <f t="shared" si="7"/>
        <v>0</v>
      </c>
      <c r="K85" s="1"/>
      <c r="L85" s="1"/>
      <c r="M85" s="1"/>
      <c r="N85" s="1"/>
      <c r="O85" s="1"/>
      <c r="P85" s="1"/>
      <c r="Q85" s="1"/>
      <c r="R85" s="1"/>
      <c r="S85" s="1"/>
      <c r="T85" s="1"/>
      <c r="U85" s="1"/>
      <c r="V85" s="1"/>
      <c r="W85" s="1"/>
      <c r="X85" s="1"/>
      <c r="Y85" s="1"/>
      <c r="Z85" s="1"/>
      <c r="AA85" s="98"/>
      <c r="AB85" s="1"/>
    </row>
    <row r="86" spans="1:28">
      <c r="A86" s="1" t="s">
        <v>195</v>
      </c>
      <c r="B86" s="1" t="s">
        <v>231</v>
      </c>
      <c r="C86" s="1" t="s">
        <v>624</v>
      </c>
      <c r="D86" s="1">
        <v>3</v>
      </c>
      <c r="E86" s="188">
        <v>26500</v>
      </c>
      <c r="F86" s="188">
        <v>34450</v>
      </c>
      <c r="G86" s="188">
        <v>41340</v>
      </c>
      <c r="H86" s="188" t="str">
        <f t="shared" si="8"/>
        <v>Yes</v>
      </c>
      <c r="I86" s="189">
        <f t="shared" si="6"/>
        <v>0.05</v>
      </c>
      <c r="J86" s="187">
        <f t="shared" si="7"/>
        <v>0</v>
      </c>
      <c r="K86" s="1"/>
      <c r="L86" s="1"/>
      <c r="M86" s="1"/>
      <c r="N86" s="1"/>
      <c r="O86" s="1"/>
      <c r="P86" s="1"/>
      <c r="Q86" s="1"/>
      <c r="R86" s="1"/>
      <c r="S86" s="1"/>
      <c r="T86" s="1"/>
      <c r="U86" s="1"/>
      <c r="V86" s="1"/>
      <c r="W86" s="1"/>
      <c r="X86" s="1"/>
      <c r="Y86" s="1"/>
      <c r="Z86" s="1"/>
      <c r="AA86" s="98"/>
      <c r="AB86" s="1"/>
    </row>
    <row r="87" spans="1:28">
      <c r="A87" s="1" t="s">
        <v>195</v>
      </c>
      <c r="B87" s="1" t="s">
        <v>234</v>
      </c>
      <c r="C87" s="1" t="s">
        <v>625</v>
      </c>
      <c r="D87" s="1">
        <v>3</v>
      </c>
      <c r="E87" s="188">
        <v>26500</v>
      </c>
      <c r="F87" s="188">
        <v>34450</v>
      </c>
      <c r="G87" s="188">
        <v>41340</v>
      </c>
      <c r="H87" s="188" t="str">
        <f t="shared" si="8"/>
        <v>Yes</v>
      </c>
      <c r="I87" s="189">
        <f t="shared" si="6"/>
        <v>0.05</v>
      </c>
      <c r="J87" s="187">
        <f t="shared" si="7"/>
        <v>0</v>
      </c>
      <c r="K87" s="1"/>
      <c r="L87" s="1"/>
      <c r="M87" s="1"/>
      <c r="N87" s="1"/>
      <c r="O87" s="1"/>
      <c r="P87" s="1"/>
      <c r="Q87" s="1"/>
      <c r="R87" s="1"/>
      <c r="S87" s="1"/>
      <c r="T87" s="1"/>
      <c r="U87" s="1"/>
      <c r="V87" s="1"/>
      <c r="W87" s="1"/>
      <c r="X87" s="1"/>
      <c r="Y87" s="1"/>
      <c r="Z87" s="1"/>
      <c r="AA87" s="98"/>
      <c r="AB87" s="1"/>
    </row>
    <row r="88" spans="1:28">
      <c r="A88" s="1" t="s">
        <v>195</v>
      </c>
      <c r="B88" s="1" t="s">
        <v>236</v>
      </c>
      <c r="C88" s="1" t="s">
        <v>626</v>
      </c>
      <c r="D88" s="1">
        <v>4</v>
      </c>
      <c r="E88" s="188">
        <v>27000</v>
      </c>
      <c r="F88" s="188">
        <v>35100</v>
      </c>
      <c r="G88" s="188">
        <v>42120</v>
      </c>
      <c r="H88" s="188" t="str">
        <f t="shared" si="8"/>
        <v>Yes</v>
      </c>
      <c r="I88" s="189">
        <f t="shared" si="6"/>
        <v>0.05</v>
      </c>
      <c r="J88" s="187">
        <f t="shared" si="7"/>
        <v>0</v>
      </c>
      <c r="K88" s="1"/>
      <c r="L88" s="1"/>
      <c r="M88" s="1"/>
      <c r="N88" s="1"/>
      <c r="O88" s="1"/>
      <c r="P88" s="1"/>
      <c r="Q88" s="1"/>
      <c r="R88" s="1"/>
      <c r="S88" s="1"/>
      <c r="T88" s="1"/>
      <c r="U88" s="1"/>
      <c r="V88" s="1"/>
      <c r="W88" s="1"/>
      <c r="X88" s="1"/>
      <c r="Y88" s="1"/>
      <c r="Z88" s="1"/>
      <c r="AA88" s="98"/>
      <c r="AB88" s="1"/>
    </row>
    <row r="89" spans="1:28">
      <c r="A89" s="1" t="s">
        <v>195</v>
      </c>
      <c r="B89" s="1" t="s">
        <v>239</v>
      </c>
      <c r="C89" s="1" t="s">
        <v>627</v>
      </c>
      <c r="D89" s="1">
        <v>4</v>
      </c>
      <c r="E89" s="188">
        <v>27000</v>
      </c>
      <c r="F89" s="188">
        <v>35100</v>
      </c>
      <c r="G89" s="188">
        <v>42120</v>
      </c>
      <c r="H89" s="188" t="str">
        <f t="shared" si="8"/>
        <v>Yes</v>
      </c>
      <c r="I89" s="189">
        <f t="shared" si="6"/>
        <v>0.05</v>
      </c>
      <c r="J89" s="187">
        <f t="shared" si="7"/>
        <v>0</v>
      </c>
      <c r="K89" s="1"/>
      <c r="L89" s="1"/>
      <c r="M89" s="1"/>
      <c r="N89" s="1"/>
      <c r="O89" s="1"/>
      <c r="P89" s="1"/>
      <c r="Q89" s="1"/>
      <c r="R89" s="1"/>
      <c r="S89" s="1"/>
      <c r="T89" s="1"/>
      <c r="U89" s="1"/>
      <c r="V89" s="1"/>
      <c r="W89" s="1"/>
      <c r="X89" s="1"/>
      <c r="Y89" s="1"/>
      <c r="Z89" s="1"/>
      <c r="AA89" s="98"/>
      <c r="AB89" s="1"/>
    </row>
    <row r="90" spans="1:28">
      <c r="A90" s="1" t="s">
        <v>195</v>
      </c>
      <c r="B90" s="1" t="s">
        <v>242</v>
      </c>
      <c r="C90" s="1" t="s">
        <v>628</v>
      </c>
      <c r="D90" s="1">
        <v>6</v>
      </c>
      <c r="E90" s="188">
        <v>33000</v>
      </c>
      <c r="F90" s="188">
        <v>42900</v>
      </c>
      <c r="G90" s="188">
        <v>51480</v>
      </c>
      <c r="H90" s="188" t="str">
        <f t="shared" si="8"/>
        <v>Yes</v>
      </c>
      <c r="I90" s="189">
        <f t="shared" si="6"/>
        <v>0.1</v>
      </c>
      <c r="J90" s="187">
        <f t="shared" si="7"/>
        <v>0.1</v>
      </c>
      <c r="K90" s="1"/>
      <c r="L90" s="1"/>
      <c r="M90" s="1"/>
      <c r="N90" s="1"/>
      <c r="O90" s="1"/>
      <c r="P90" s="1"/>
      <c r="Q90" s="1"/>
      <c r="R90" s="1"/>
      <c r="S90" s="1"/>
      <c r="T90" s="1"/>
      <c r="U90" s="1"/>
      <c r="V90" s="1"/>
      <c r="W90" s="1"/>
      <c r="X90" s="1"/>
      <c r="Y90" s="1"/>
      <c r="Z90" s="1"/>
      <c r="AA90" s="98"/>
      <c r="AB90" s="1"/>
    </row>
    <row r="91" spans="1:28">
      <c r="A91" s="1" t="s">
        <v>195</v>
      </c>
      <c r="B91" s="1" t="s">
        <v>259</v>
      </c>
      <c r="C91" s="1" t="s">
        <v>629</v>
      </c>
      <c r="D91" s="1">
        <v>6</v>
      </c>
      <c r="E91" s="188">
        <v>33000</v>
      </c>
      <c r="F91" s="188">
        <v>42900</v>
      </c>
      <c r="G91" s="188">
        <v>51480</v>
      </c>
      <c r="H91" s="188" t="str">
        <f t="shared" si="8"/>
        <v>Yes</v>
      </c>
      <c r="I91" s="189">
        <f t="shared" si="6"/>
        <v>0.1</v>
      </c>
      <c r="J91" s="187">
        <f t="shared" si="7"/>
        <v>0.1</v>
      </c>
      <c r="K91" s="1"/>
      <c r="L91" s="1"/>
      <c r="M91" s="1"/>
      <c r="N91" s="1"/>
      <c r="O91" s="1"/>
      <c r="P91" s="1"/>
      <c r="Q91" s="1"/>
      <c r="R91" s="1"/>
      <c r="S91" s="1"/>
      <c r="T91" s="1"/>
      <c r="U91" s="1"/>
      <c r="V91" s="1"/>
      <c r="W91" s="1"/>
      <c r="X91" s="1"/>
      <c r="Y91" s="1"/>
      <c r="Z91" s="1"/>
      <c r="AA91" s="98"/>
      <c r="AB91" s="1"/>
    </row>
    <row r="92" spans="1:28">
      <c r="A92" s="1" t="s">
        <v>195</v>
      </c>
      <c r="B92" s="1" t="s">
        <v>293</v>
      </c>
      <c r="C92" s="1" t="s">
        <v>630</v>
      </c>
      <c r="D92" s="1">
        <v>6</v>
      </c>
      <c r="E92" s="188">
        <v>33000</v>
      </c>
      <c r="F92" s="188">
        <v>42900</v>
      </c>
      <c r="G92" s="188">
        <v>51480</v>
      </c>
      <c r="H92" s="188" t="str">
        <f t="shared" si="8"/>
        <v>Yes</v>
      </c>
      <c r="I92" s="189">
        <f t="shared" si="6"/>
        <v>0.1</v>
      </c>
      <c r="J92" s="187">
        <f t="shared" si="7"/>
        <v>0.1</v>
      </c>
      <c r="K92" s="1"/>
      <c r="L92" s="1"/>
      <c r="M92" s="1"/>
      <c r="N92" s="1"/>
      <c r="O92" s="1"/>
      <c r="P92" s="1"/>
      <c r="Q92" s="1"/>
      <c r="R92" s="1"/>
      <c r="S92" s="1"/>
      <c r="T92" s="1"/>
      <c r="U92" s="1"/>
      <c r="V92" s="1"/>
      <c r="W92" s="1"/>
      <c r="X92" s="1"/>
      <c r="Y92" s="1"/>
      <c r="Z92" s="1"/>
      <c r="AA92" s="98"/>
      <c r="AB92" s="1"/>
    </row>
    <row r="93" spans="1:28">
      <c r="A93" s="1" t="s">
        <v>195</v>
      </c>
      <c r="B93" s="1" t="s">
        <v>473</v>
      </c>
      <c r="C93" s="1" t="s">
        <v>631</v>
      </c>
      <c r="D93" s="1">
        <v>6</v>
      </c>
      <c r="E93" s="188">
        <v>33000</v>
      </c>
      <c r="F93" s="188">
        <v>42900</v>
      </c>
      <c r="G93" s="188">
        <v>51480</v>
      </c>
      <c r="H93" s="188" t="str">
        <f t="shared" si="8"/>
        <v>Yes</v>
      </c>
      <c r="I93" s="189">
        <f t="shared" si="6"/>
        <v>0.1</v>
      </c>
      <c r="J93" s="187">
        <f t="shared" si="7"/>
        <v>0.1</v>
      </c>
      <c r="K93" s="1"/>
      <c r="L93" s="1"/>
      <c r="M93" s="1"/>
      <c r="N93" s="1"/>
      <c r="O93" s="1"/>
      <c r="P93" s="1"/>
      <c r="Q93" s="1"/>
      <c r="R93" s="1"/>
      <c r="S93" s="1"/>
      <c r="T93" s="1"/>
      <c r="U93" s="1"/>
      <c r="V93" s="1"/>
      <c r="W93" s="1"/>
      <c r="X93" s="1"/>
      <c r="Y93" s="1"/>
      <c r="Z93" s="1"/>
      <c r="AA93" s="98"/>
      <c r="AB93" s="1"/>
    </row>
    <row r="94" spans="1:28">
      <c r="A94" s="1" t="s">
        <v>195</v>
      </c>
      <c r="B94" s="1" t="s">
        <v>244</v>
      </c>
      <c r="C94" s="1" t="s">
        <v>632</v>
      </c>
      <c r="D94" s="1">
        <v>3</v>
      </c>
      <c r="E94" s="188">
        <v>26500</v>
      </c>
      <c r="F94" s="188">
        <v>34450</v>
      </c>
      <c r="G94" s="188">
        <v>41340</v>
      </c>
      <c r="H94" s="188" t="str">
        <f t="shared" si="8"/>
        <v>Yes</v>
      </c>
      <c r="I94" s="189">
        <f t="shared" si="6"/>
        <v>0.05</v>
      </c>
      <c r="J94" s="187">
        <f t="shared" si="7"/>
        <v>0</v>
      </c>
      <c r="K94" s="1"/>
      <c r="L94" s="1"/>
      <c r="M94" s="1"/>
      <c r="N94" s="1"/>
      <c r="O94" s="1"/>
      <c r="P94" s="1"/>
      <c r="Q94" s="1"/>
      <c r="R94" s="1"/>
      <c r="S94" s="1"/>
      <c r="T94" s="1"/>
      <c r="U94" s="1"/>
      <c r="V94" s="1"/>
      <c r="W94" s="1"/>
      <c r="X94" s="1"/>
      <c r="Y94" s="1"/>
      <c r="Z94" s="1"/>
      <c r="AA94" s="98"/>
      <c r="AB94" s="1"/>
    </row>
    <row r="95" spans="1:28">
      <c r="A95" s="1" t="s">
        <v>195</v>
      </c>
      <c r="B95" s="1" t="s">
        <v>246</v>
      </c>
      <c r="C95" s="1" t="s">
        <v>633</v>
      </c>
      <c r="D95" s="1">
        <v>6</v>
      </c>
      <c r="E95" s="188">
        <v>33000</v>
      </c>
      <c r="F95" s="188">
        <v>42900</v>
      </c>
      <c r="G95" s="188">
        <v>51480</v>
      </c>
      <c r="H95" s="188" t="str">
        <f t="shared" si="8"/>
        <v>Yes</v>
      </c>
      <c r="I95" s="189">
        <f t="shared" si="6"/>
        <v>0.1</v>
      </c>
      <c r="J95" s="187">
        <f t="shared" si="7"/>
        <v>0.1</v>
      </c>
      <c r="K95" s="1"/>
      <c r="L95" s="1"/>
      <c r="M95" s="1"/>
      <c r="N95" s="1"/>
      <c r="O95" s="1"/>
      <c r="P95" s="1"/>
      <c r="Q95" s="1"/>
      <c r="R95" s="1"/>
      <c r="S95" s="1"/>
      <c r="T95" s="1"/>
      <c r="U95" s="1"/>
      <c r="V95" s="1"/>
      <c r="W95" s="1"/>
      <c r="X95" s="1"/>
      <c r="Y95" s="1"/>
      <c r="Z95" s="1"/>
      <c r="AA95" s="98"/>
      <c r="AB95" s="1"/>
    </row>
    <row r="96" spans="1:28">
      <c r="A96" s="1" t="s">
        <v>214</v>
      </c>
      <c r="B96" s="1" t="s">
        <v>215</v>
      </c>
      <c r="C96" s="1" t="s">
        <v>634</v>
      </c>
      <c r="D96" s="1">
        <v>4</v>
      </c>
      <c r="E96" s="188">
        <v>27000</v>
      </c>
      <c r="F96" s="188">
        <v>35100</v>
      </c>
      <c r="G96" s="188">
        <v>42120</v>
      </c>
      <c r="H96" s="188" t="str">
        <f t="shared" si="8"/>
        <v>Yes</v>
      </c>
      <c r="I96" s="189">
        <f t="shared" si="6"/>
        <v>0.05</v>
      </c>
      <c r="J96" s="187">
        <f t="shared" si="7"/>
        <v>0</v>
      </c>
      <c r="K96" s="1"/>
      <c r="L96" s="1"/>
      <c r="M96" s="1"/>
      <c r="N96" s="1"/>
      <c r="O96" s="1"/>
      <c r="P96" s="1"/>
      <c r="Q96" s="1"/>
      <c r="R96" s="1"/>
      <c r="S96" s="1"/>
      <c r="T96" s="1"/>
      <c r="U96" s="1"/>
      <c r="V96" s="1"/>
      <c r="W96" s="1"/>
      <c r="X96" s="1"/>
      <c r="Y96" s="1"/>
      <c r="Z96" s="1"/>
      <c r="AA96" s="98"/>
      <c r="AB96" s="1"/>
    </row>
    <row r="97" spans="1:28">
      <c r="A97" s="1" t="s">
        <v>214</v>
      </c>
      <c r="B97" s="1" t="s">
        <v>225</v>
      </c>
      <c r="C97" s="1" t="s">
        <v>635</v>
      </c>
      <c r="D97" s="1">
        <v>4</v>
      </c>
      <c r="E97" s="188">
        <v>27000</v>
      </c>
      <c r="F97" s="188">
        <v>35100</v>
      </c>
      <c r="G97" s="188">
        <v>42120</v>
      </c>
      <c r="H97" s="188" t="str">
        <f t="shared" si="8"/>
        <v>Yes</v>
      </c>
      <c r="I97" s="189">
        <f t="shared" si="6"/>
        <v>0.05</v>
      </c>
      <c r="J97" s="187">
        <f t="shared" si="7"/>
        <v>0</v>
      </c>
      <c r="K97" s="1"/>
      <c r="L97" s="1"/>
      <c r="M97" s="1"/>
      <c r="N97" s="1"/>
      <c r="O97" s="1"/>
      <c r="P97" s="1"/>
      <c r="Q97" s="1"/>
      <c r="R97" s="1"/>
      <c r="S97" s="1"/>
      <c r="T97" s="1"/>
      <c r="U97" s="1"/>
      <c r="V97" s="1"/>
      <c r="W97" s="1"/>
      <c r="X97" s="1"/>
      <c r="Y97" s="1"/>
      <c r="Z97" s="1"/>
      <c r="AA97" s="98"/>
      <c r="AB97" s="1"/>
    </row>
    <row r="98" spans="1:28">
      <c r="A98" s="1" t="s">
        <v>214</v>
      </c>
      <c r="B98" s="1" t="s">
        <v>283</v>
      </c>
      <c r="C98" s="1" t="s">
        <v>636</v>
      </c>
      <c r="D98" s="1">
        <v>4</v>
      </c>
      <c r="E98" s="188">
        <v>27000</v>
      </c>
      <c r="F98" s="188">
        <v>35100</v>
      </c>
      <c r="G98" s="188">
        <v>42120</v>
      </c>
      <c r="H98" s="188" t="str">
        <f t="shared" si="8"/>
        <v>Yes</v>
      </c>
      <c r="I98" s="189">
        <f t="shared" ref="I98:I117" si="9">VLOOKUP(D98,$L$1:$M$7,2,FALSE)</f>
        <v>0.05</v>
      </c>
      <c r="J98" s="187">
        <f t="shared" ref="J98:J117" si="10">VLOOKUP(D98,$L$1:$N$7,3,FALSE)</f>
        <v>0</v>
      </c>
      <c r="K98" s="1"/>
      <c r="L98" s="1"/>
      <c r="M98" s="1"/>
      <c r="N98" s="1"/>
      <c r="O98" s="1"/>
      <c r="P98" s="1"/>
      <c r="Q98" s="1"/>
      <c r="R98" s="1"/>
      <c r="S98" s="1"/>
      <c r="T98" s="1"/>
      <c r="U98" s="1"/>
      <c r="V98" s="1"/>
      <c r="W98" s="1"/>
      <c r="X98" s="1"/>
      <c r="Y98" s="1"/>
      <c r="Z98" s="1"/>
      <c r="AA98" s="98"/>
      <c r="AB98" s="1"/>
    </row>
    <row r="99" spans="1:28">
      <c r="A99" s="1" t="s">
        <v>214</v>
      </c>
      <c r="B99" s="1" t="s">
        <v>217</v>
      </c>
      <c r="C99" s="1" t="s">
        <v>637</v>
      </c>
      <c r="D99" s="1">
        <v>6</v>
      </c>
      <c r="E99" s="188">
        <v>33000</v>
      </c>
      <c r="F99" s="188">
        <v>42900</v>
      </c>
      <c r="G99" s="188">
        <v>51480</v>
      </c>
      <c r="H99" s="188" t="str">
        <f t="shared" si="8"/>
        <v>Yes</v>
      </c>
      <c r="I99" s="189">
        <f t="shared" si="9"/>
        <v>0.1</v>
      </c>
      <c r="J99" s="187">
        <f t="shared" si="10"/>
        <v>0.1</v>
      </c>
      <c r="K99" s="1"/>
      <c r="L99" s="1"/>
      <c r="M99" s="1"/>
      <c r="N99" s="1"/>
      <c r="O99" s="1"/>
      <c r="P99" s="1"/>
      <c r="Q99" s="1"/>
      <c r="R99" s="1"/>
      <c r="S99" s="1"/>
      <c r="T99" s="1"/>
      <c r="U99" s="1"/>
      <c r="V99" s="1"/>
      <c r="W99" s="1"/>
      <c r="X99" s="1"/>
      <c r="Y99" s="1"/>
      <c r="Z99" s="1"/>
      <c r="AA99" s="98"/>
      <c r="AB99" s="1"/>
    </row>
    <row r="100" spans="1:28">
      <c r="A100" s="1" t="s">
        <v>214</v>
      </c>
      <c r="B100" s="1" t="s">
        <v>248</v>
      </c>
      <c r="C100" s="1" t="s">
        <v>638</v>
      </c>
      <c r="D100" s="1">
        <v>4</v>
      </c>
      <c r="E100" s="188">
        <v>27000</v>
      </c>
      <c r="F100" s="188">
        <v>35100</v>
      </c>
      <c r="G100" s="188">
        <v>42120</v>
      </c>
      <c r="H100" s="188" t="str">
        <f t="shared" si="8"/>
        <v>Yes</v>
      </c>
      <c r="I100" s="189">
        <f t="shared" si="9"/>
        <v>0.05</v>
      </c>
      <c r="J100" s="187">
        <f t="shared" si="10"/>
        <v>0</v>
      </c>
      <c r="K100" s="1"/>
      <c r="L100" s="1"/>
      <c r="M100" s="1"/>
      <c r="N100" s="1"/>
      <c r="O100" s="1"/>
      <c r="P100" s="1"/>
      <c r="Q100" s="1"/>
      <c r="R100" s="1"/>
      <c r="S100" s="1"/>
      <c r="T100" s="1"/>
      <c r="U100" s="1"/>
      <c r="V100" s="1"/>
      <c r="W100" s="1"/>
      <c r="X100" s="1"/>
      <c r="Y100" s="1"/>
      <c r="Z100" s="1"/>
      <c r="AA100" s="98"/>
      <c r="AB100" s="1"/>
    </row>
    <row r="101" spans="1:28">
      <c r="A101" s="1" t="s">
        <v>214</v>
      </c>
      <c r="B101" s="1" t="s">
        <v>266</v>
      </c>
      <c r="C101" s="1" t="s">
        <v>639</v>
      </c>
      <c r="D101" s="1">
        <v>5</v>
      </c>
      <c r="E101" s="188">
        <v>29000</v>
      </c>
      <c r="F101" s="188">
        <v>37700</v>
      </c>
      <c r="G101" s="188">
        <v>45240</v>
      </c>
      <c r="H101" s="188" t="str">
        <f t="shared" si="8"/>
        <v>Yes</v>
      </c>
      <c r="I101" s="189">
        <f t="shared" si="9"/>
        <v>0.1</v>
      </c>
      <c r="J101" s="187">
        <f t="shared" si="10"/>
        <v>0.05</v>
      </c>
      <c r="K101" s="1"/>
      <c r="L101" s="1"/>
      <c r="M101" s="1"/>
      <c r="N101" s="1"/>
      <c r="O101" s="1"/>
      <c r="P101" s="1"/>
      <c r="Q101" s="1"/>
      <c r="R101" s="1"/>
      <c r="S101" s="1"/>
      <c r="T101" s="1"/>
      <c r="U101" s="1"/>
      <c r="V101" s="1"/>
      <c r="W101" s="1"/>
      <c r="X101" s="1"/>
      <c r="Y101" s="1"/>
      <c r="Z101" s="1"/>
      <c r="AA101" s="98"/>
      <c r="AB101" s="1"/>
    </row>
    <row r="102" spans="1:28">
      <c r="A102" s="1" t="s">
        <v>214</v>
      </c>
      <c r="B102" s="1" t="s">
        <v>276</v>
      </c>
      <c r="C102" s="1" t="s">
        <v>640</v>
      </c>
      <c r="D102" s="1">
        <v>7</v>
      </c>
      <c r="E102" s="188">
        <v>37000</v>
      </c>
      <c r="F102" s="188">
        <v>48100</v>
      </c>
      <c r="G102" s="188">
        <v>57720</v>
      </c>
      <c r="H102" s="188" t="str">
        <f t="shared" ref="H102:H117" si="11">IF(OR(D102=3,D102&gt;3),"Yes","No")</f>
        <v>Yes</v>
      </c>
      <c r="I102" s="189">
        <f t="shared" si="9"/>
        <v>0.15</v>
      </c>
      <c r="J102" s="187">
        <f t="shared" si="10"/>
        <v>0.15</v>
      </c>
      <c r="K102" s="1"/>
      <c r="L102" s="1"/>
      <c r="M102" s="1"/>
      <c r="N102" s="1"/>
      <c r="O102" s="1"/>
      <c r="P102" s="1"/>
      <c r="Q102" s="1"/>
      <c r="R102" s="1"/>
      <c r="S102" s="1"/>
      <c r="T102" s="1"/>
      <c r="U102" s="1"/>
      <c r="V102" s="1"/>
      <c r="W102" s="1"/>
      <c r="X102" s="1"/>
      <c r="Y102" s="1"/>
      <c r="Z102" s="1"/>
      <c r="AA102" s="98"/>
      <c r="AB102" s="1"/>
    </row>
    <row r="103" spans="1:28">
      <c r="A103" s="1" t="s">
        <v>214</v>
      </c>
      <c r="B103" s="1" t="s">
        <v>428</v>
      </c>
      <c r="C103" s="1" t="s">
        <v>641</v>
      </c>
      <c r="D103" s="1">
        <v>1</v>
      </c>
      <c r="E103" s="188">
        <v>20000</v>
      </c>
      <c r="F103" s="188">
        <v>26000</v>
      </c>
      <c r="G103" s="188">
        <v>31200</v>
      </c>
      <c r="H103" s="188" t="str">
        <f t="shared" si="11"/>
        <v>No</v>
      </c>
      <c r="I103" s="189">
        <f t="shared" si="9"/>
        <v>0</v>
      </c>
      <c r="J103" s="187">
        <f t="shared" si="10"/>
        <v>0</v>
      </c>
      <c r="K103" s="1"/>
      <c r="L103" s="1"/>
      <c r="M103" s="1"/>
      <c r="N103" s="1"/>
      <c r="O103" s="1"/>
      <c r="P103" s="1"/>
      <c r="Q103" s="1"/>
      <c r="R103" s="1"/>
      <c r="S103" s="1"/>
      <c r="T103" s="1"/>
      <c r="U103" s="1"/>
      <c r="V103" s="1"/>
      <c r="W103" s="1"/>
      <c r="X103" s="1"/>
      <c r="Y103" s="1"/>
      <c r="Z103" s="1"/>
      <c r="AA103" s="98"/>
      <c r="AB103" s="1"/>
    </row>
    <row r="104" spans="1:28">
      <c r="A104" s="1" t="s">
        <v>214</v>
      </c>
      <c r="B104" s="1" t="s">
        <v>485</v>
      </c>
      <c r="C104" s="1" t="s">
        <v>642</v>
      </c>
      <c r="D104" s="1">
        <v>2</v>
      </c>
      <c r="E104" s="188">
        <v>23000</v>
      </c>
      <c r="F104" s="188">
        <v>29900</v>
      </c>
      <c r="G104" s="188">
        <v>35880</v>
      </c>
      <c r="H104" s="188" t="str">
        <f t="shared" si="11"/>
        <v>No</v>
      </c>
      <c r="I104" s="189">
        <f t="shared" si="9"/>
        <v>0</v>
      </c>
      <c r="J104" s="187">
        <f t="shared" si="10"/>
        <v>0</v>
      </c>
      <c r="K104" s="1"/>
      <c r="L104" s="1"/>
      <c r="M104" s="1"/>
      <c r="N104" s="1"/>
      <c r="O104" s="1"/>
      <c r="P104" s="1"/>
      <c r="Q104" s="1"/>
      <c r="R104" s="1"/>
      <c r="S104" s="1"/>
      <c r="T104" s="1"/>
      <c r="U104" s="1"/>
      <c r="V104" s="1"/>
      <c r="W104" s="1"/>
      <c r="X104" s="1"/>
      <c r="Y104" s="1"/>
      <c r="Z104" s="1"/>
      <c r="AA104" s="98"/>
      <c r="AB104" s="1"/>
    </row>
    <row r="105" spans="1:28">
      <c r="A105" s="1" t="s">
        <v>214</v>
      </c>
      <c r="B105" s="1" t="s">
        <v>498</v>
      </c>
      <c r="C105" s="1" t="s">
        <v>643</v>
      </c>
      <c r="D105" s="1">
        <v>2</v>
      </c>
      <c r="E105" s="188">
        <v>23000</v>
      </c>
      <c r="F105" s="188">
        <v>29900</v>
      </c>
      <c r="G105" s="188">
        <v>35880</v>
      </c>
      <c r="H105" s="188" t="str">
        <f t="shared" si="11"/>
        <v>No</v>
      </c>
      <c r="I105" s="189">
        <f t="shared" si="9"/>
        <v>0</v>
      </c>
      <c r="J105" s="187">
        <f t="shared" si="10"/>
        <v>0</v>
      </c>
      <c r="K105" s="1"/>
      <c r="L105" s="1"/>
      <c r="M105" s="1"/>
      <c r="N105" s="1"/>
      <c r="O105" s="1"/>
      <c r="P105" s="1"/>
      <c r="Q105" s="1"/>
      <c r="R105" s="1"/>
      <c r="S105" s="1"/>
      <c r="T105" s="1"/>
      <c r="U105" s="1"/>
      <c r="V105" s="1"/>
      <c r="W105" s="1"/>
      <c r="X105" s="1"/>
      <c r="Y105" s="1"/>
      <c r="Z105" s="1"/>
      <c r="AA105" s="98"/>
      <c r="AB105" s="1"/>
    </row>
    <row r="106" spans="1:28">
      <c r="A106" s="1" t="s">
        <v>214</v>
      </c>
      <c r="B106" s="1" t="s">
        <v>219</v>
      </c>
      <c r="C106" s="1" t="s">
        <v>644</v>
      </c>
      <c r="D106" s="1">
        <v>5</v>
      </c>
      <c r="E106" s="188">
        <v>29000</v>
      </c>
      <c r="F106" s="188">
        <v>37700</v>
      </c>
      <c r="G106" s="188">
        <v>45240</v>
      </c>
      <c r="H106" s="188" t="str">
        <f t="shared" si="11"/>
        <v>Yes</v>
      </c>
      <c r="I106" s="189">
        <f t="shared" si="9"/>
        <v>0.1</v>
      </c>
      <c r="J106" s="187">
        <f t="shared" si="10"/>
        <v>0.05</v>
      </c>
      <c r="K106" s="1"/>
      <c r="L106" s="1"/>
      <c r="M106" s="1"/>
      <c r="N106" s="1"/>
      <c r="O106" s="1"/>
      <c r="P106" s="1"/>
      <c r="Q106" s="1"/>
      <c r="R106" s="1"/>
      <c r="S106" s="1"/>
      <c r="T106" s="1"/>
      <c r="U106" s="1"/>
      <c r="V106" s="1"/>
      <c r="W106" s="1"/>
      <c r="X106" s="1"/>
      <c r="Y106" s="1"/>
      <c r="Z106" s="1"/>
      <c r="AA106" s="98"/>
      <c r="AB106" s="1"/>
    </row>
    <row r="107" spans="1:28">
      <c r="A107" s="1" t="s">
        <v>214</v>
      </c>
      <c r="B107" s="1" t="s">
        <v>223</v>
      </c>
      <c r="C107" s="1" t="s">
        <v>645</v>
      </c>
      <c r="D107" s="1">
        <v>6</v>
      </c>
      <c r="E107" s="188">
        <v>33000</v>
      </c>
      <c r="F107" s="188">
        <v>42900</v>
      </c>
      <c r="G107" s="188">
        <v>51480</v>
      </c>
      <c r="H107" s="188" t="str">
        <f t="shared" si="11"/>
        <v>Yes</v>
      </c>
      <c r="I107" s="189">
        <f t="shared" si="9"/>
        <v>0.1</v>
      </c>
      <c r="J107" s="187">
        <f t="shared" si="10"/>
        <v>0.1</v>
      </c>
      <c r="K107" s="1"/>
      <c r="L107" s="1"/>
      <c r="M107" s="1"/>
      <c r="N107" s="1"/>
      <c r="O107" s="1"/>
      <c r="P107" s="1"/>
      <c r="Q107" s="1"/>
      <c r="R107" s="1"/>
      <c r="S107" s="1"/>
      <c r="T107" s="1"/>
      <c r="U107" s="1"/>
      <c r="V107" s="1"/>
      <c r="W107" s="1"/>
      <c r="X107" s="1"/>
      <c r="Y107" s="1"/>
      <c r="Z107" s="1"/>
      <c r="AA107" s="98"/>
      <c r="AB107" s="1"/>
    </row>
    <row r="108" spans="1:28">
      <c r="A108" s="1" t="s">
        <v>214</v>
      </c>
      <c r="B108" s="1" t="s">
        <v>268</v>
      </c>
      <c r="C108" s="1" t="s">
        <v>646</v>
      </c>
      <c r="D108" s="1">
        <v>7</v>
      </c>
      <c r="E108" s="188">
        <v>37000</v>
      </c>
      <c r="F108" s="188">
        <v>48100</v>
      </c>
      <c r="G108" s="188">
        <v>57720</v>
      </c>
      <c r="H108" s="188" t="str">
        <f t="shared" si="11"/>
        <v>Yes</v>
      </c>
      <c r="I108" s="189">
        <f t="shared" si="9"/>
        <v>0.15</v>
      </c>
      <c r="J108" s="187">
        <f t="shared" si="10"/>
        <v>0.15</v>
      </c>
      <c r="K108" s="1"/>
      <c r="L108" s="1"/>
      <c r="M108" s="1"/>
      <c r="N108" s="1"/>
      <c r="O108" s="1"/>
      <c r="P108" s="1"/>
      <c r="Q108" s="1"/>
      <c r="R108" s="1"/>
      <c r="S108" s="1"/>
      <c r="T108" s="1"/>
      <c r="U108" s="1"/>
      <c r="V108" s="1"/>
      <c r="W108" s="1"/>
      <c r="X108" s="1"/>
      <c r="Y108" s="1"/>
      <c r="Z108" s="1"/>
      <c r="AA108" s="98"/>
      <c r="AB108" s="1"/>
    </row>
    <row r="109" spans="1:28">
      <c r="A109" s="1" t="s">
        <v>214</v>
      </c>
      <c r="B109" s="1" t="s">
        <v>510</v>
      </c>
      <c r="C109" s="1" t="s">
        <v>647</v>
      </c>
      <c r="D109" s="1">
        <v>2</v>
      </c>
      <c r="E109" s="188">
        <v>23000</v>
      </c>
      <c r="F109" s="188">
        <v>29900</v>
      </c>
      <c r="G109" s="188">
        <v>35880</v>
      </c>
      <c r="H109" s="188" t="str">
        <f t="shared" si="11"/>
        <v>No</v>
      </c>
      <c r="I109" s="189">
        <f t="shared" si="9"/>
        <v>0</v>
      </c>
      <c r="J109" s="187">
        <f t="shared" si="10"/>
        <v>0</v>
      </c>
      <c r="K109" s="1"/>
      <c r="L109" s="1"/>
      <c r="M109" s="1"/>
      <c r="N109" s="1"/>
      <c r="O109" s="1"/>
      <c r="P109" s="1"/>
      <c r="Q109" s="1"/>
      <c r="R109" s="1"/>
      <c r="S109" s="1"/>
      <c r="T109" s="1"/>
      <c r="U109" s="1"/>
      <c r="V109" s="1"/>
      <c r="W109" s="1"/>
      <c r="X109" s="1"/>
      <c r="Y109" s="1"/>
      <c r="Z109" s="1"/>
      <c r="AA109" s="98"/>
      <c r="AB109" s="1"/>
    </row>
    <row r="110" spans="1:28">
      <c r="A110" s="1" t="s">
        <v>214</v>
      </c>
      <c r="B110" s="1" t="s">
        <v>512</v>
      </c>
      <c r="C110" s="1" t="s">
        <v>648</v>
      </c>
      <c r="D110" s="1">
        <v>2</v>
      </c>
      <c r="E110" s="188">
        <v>23000</v>
      </c>
      <c r="F110" s="188">
        <v>29900</v>
      </c>
      <c r="G110" s="188">
        <v>35880</v>
      </c>
      <c r="H110" s="188" t="str">
        <f t="shared" si="11"/>
        <v>No</v>
      </c>
      <c r="I110" s="189">
        <f t="shared" si="9"/>
        <v>0</v>
      </c>
      <c r="J110" s="187">
        <f t="shared" si="10"/>
        <v>0</v>
      </c>
      <c r="K110" s="1"/>
      <c r="L110" s="1"/>
      <c r="M110" s="1"/>
      <c r="N110" s="1"/>
      <c r="O110" s="1"/>
      <c r="P110" s="1"/>
      <c r="Q110" s="1"/>
      <c r="R110" s="1"/>
      <c r="S110" s="1"/>
      <c r="T110" s="1"/>
      <c r="U110" s="1"/>
      <c r="V110" s="1"/>
      <c r="W110" s="1"/>
      <c r="X110" s="1"/>
      <c r="Y110" s="1"/>
      <c r="Z110" s="1"/>
      <c r="AA110" s="98"/>
      <c r="AB110" s="1"/>
    </row>
    <row r="111" spans="1:28">
      <c r="A111" s="1" t="s">
        <v>214</v>
      </c>
      <c r="B111" s="1" t="s">
        <v>514</v>
      </c>
      <c r="C111" s="1" t="s">
        <v>649</v>
      </c>
      <c r="D111" s="1">
        <v>2</v>
      </c>
      <c r="E111" s="188">
        <v>23000</v>
      </c>
      <c r="F111" s="188">
        <v>29900</v>
      </c>
      <c r="G111" s="188">
        <v>35880</v>
      </c>
      <c r="H111" s="188" t="str">
        <f t="shared" si="11"/>
        <v>No</v>
      </c>
      <c r="I111" s="189">
        <f t="shared" si="9"/>
        <v>0</v>
      </c>
      <c r="J111" s="187">
        <f t="shared" si="10"/>
        <v>0</v>
      </c>
      <c r="K111" s="1"/>
      <c r="L111" s="1"/>
      <c r="M111" s="1"/>
      <c r="N111" s="1"/>
      <c r="O111" s="1"/>
      <c r="P111" s="1"/>
      <c r="Q111" s="1"/>
      <c r="R111" s="1"/>
      <c r="S111" s="1"/>
      <c r="T111" s="1"/>
      <c r="U111" s="1"/>
      <c r="V111" s="1"/>
      <c r="W111" s="1"/>
      <c r="X111" s="1"/>
      <c r="Y111" s="1"/>
      <c r="Z111" s="1"/>
      <c r="AA111" s="98"/>
      <c r="AB111" s="1"/>
    </row>
    <row r="112" spans="1:28">
      <c r="A112" s="1" t="s">
        <v>214</v>
      </c>
      <c r="B112" s="1" t="s">
        <v>388</v>
      </c>
      <c r="C112" s="1" t="s">
        <v>650</v>
      </c>
      <c r="D112" s="1">
        <v>5</v>
      </c>
      <c r="E112" s="188">
        <v>29000</v>
      </c>
      <c r="F112" s="188">
        <v>37700</v>
      </c>
      <c r="G112" s="188">
        <v>45240</v>
      </c>
      <c r="H112" s="188" t="str">
        <f t="shared" si="11"/>
        <v>Yes</v>
      </c>
      <c r="I112" s="189">
        <f t="shared" si="9"/>
        <v>0.1</v>
      </c>
      <c r="J112" s="187">
        <f t="shared" si="10"/>
        <v>0.05</v>
      </c>
      <c r="K112" s="1"/>
      <c r="L112" s="1"/>
      <c r="M112" s="1"/>
      <c r="N112" s="1"/>
      <c r="O112" s="1"/>
      <c r="P112" s="1"/>
      <c r="Q112" s="1"/>
      <c r="R112" s="1"/>
      <c r="S112" s="1"/>
      <c r="T112" s="1"/>
      <c r="U112" s="1"/>
      <c r="V112" s="1"/>
      <c r="W112" s="1"/>
      <c r="X112" s="1"/>
      <c r="Y112" s="1"/>
      <c r="Z112" s="1"/>
      <c r="AA112" s="98"/>
      <c r="AB112" s="1"/>
    </row>
    <row r="113" spans="1:28">
      <c r="A113" s="1" t="s">
        <v>214</v>
      </c>
      <c r="B113" s="1" t="s">
        <v>308</v>
      </c>
      <c r="C113" s="1" t="s">
        <v>651</v>
      </c>
      <c r="D113" s="1">
        <v>4</v>
      </c>
      <c r="E113" s="188">
        <v>27000</v>
      </c>
      <c r="F113" s="188">
        <v>35100</v>
      </c>
      <c r="G113" s="188">
        <v>42120</v>
      </c>
      <c r="H113" s="188" t="str">
        <f t="shared" si="11"/>
        <v>Yes</v>
      </c>
      <c r="I113" s="189">
        <f t="shared" si="9"/>
        <v>0.05</v>
      </c>
      <c r="J113" s="187">
        <f t="shared" si="10"/>
        <v>0</v>
      </c>
      <c r="K113" s="1"/>
      <c r="L113" s="1"/>
      <c r="M113" s="1"/>
      <c r="N113" s="1"/>
      <c r="O113" s="1"/>
      <c r="P113" s="1"/>
      <c r="Q113" s="1"/>
      <c r="R113" s="1"/>
      <c r="S113" s="1"/>
      <c r="T113" s="1"/>
      <c r="U113" s="1"/>
      <c r="V113" s="1"/>
      <c r="W113" s="1"/>
      <c r="X113" s="1"/>
      <c r="Y113" s="1"/>
      <c r="Z113" s="1"/>
      <c r="AA113" s="98"/>
      <c r="AB113" s="1"/>
    </row>
    <row r="114" spans="1:28">
      <c r="A114" s="1" t="s">
        <v>214</v>
      </c>
      <c r="B114" s="1" t="s">
        <v>519</v>
      </c>
      <c r="C114" s="1" t="s">
        <v>652</v>
      </c>
      <c r="D114" s="1">
        <v>3</v>
      </c>
      <c r="E114" s="188">
        <v>26500</v>
      </c>
      <c r="F114" s="188">
        <v>34450</v>
      </c>
      <c r="G114" s="188">
        <v>41340</v>
      </c>
      <c r="H114" s="188" t="str">
        <f t="shared" si="11"/>
        <v>Yes</v>
      </c>
      <c r="I114" s="189">
        <f t="shared" si="9"/>
        <v>0.05</v>
      </c>
      <c r="J114" s="187">
        <f t="shared" si="10"/>
        <v>0</v>
      </c>
      <c r="K114" s="1"/>
      <c r="L114" s="1"/>
      <c r="M114" s="1"/>
      <c r="N114" s="1"/>
      <c r="O114" s="1"/>
      <c r="P114" s="1"/>
      <c r="Q114" s="1"/>
      <c r="R114" s="1"/>
      <c r="S114" s="1"/>
      <c r="T114" s="1"/>
      <c r="U114" s="1"/>
      <c r="V114" s="1"/>
      <c r="W114" s="1"/>
      <c r="X114" s="1"/>
      <c r="Y114" s="1"/>
      <c r="Z114" s="1"/>
      <c r="AA114" s="98"/>
      <c r="AB114" s="1"/>
    </row>
    <row r="115" spans="1:28">
      <c r="A115" s="1" t="s">
        <v>214</v>
      </c>
      <c r="B115" s="1" t="s">
        <v>521</v>
      </c>
      <c r="C115" s="1" t="s">
        <v>653</v>
      </c>
      <c r="D115" s="1">
        <v>4</v>
      </c>
      <c r="E115" s="188">
        <v>27000</v>
      </c>
      <c r="F115" s="188">
        <v>35100</v>
      </c>
      <c r="G115" s="188">
        <v>42120</v>
      </c>
      <c r="H115" s="188" t="str">
        <f t="shared" si="11"/>
        <v>Yes</v>
      </c>
      <c r="I115" s="189">
        <f t="shared" si="9"/>
        <v>0.05</v>
      </c>
      <c r="J115" s="187">
        <f t="shared" si="10"/>
        <v>0</v>
      </c>
      <c r="K115" s="1"/>
      <c r="L115" s="1"/>
      <c r="M115" s="1"/>
      <c r="N115" s="1"/>
      <c r="O115" s="1"/>
      <c r="P115" s="1"/>
      <c r="Q115" s="1"/>
      <c r="R115" s="1"/>
      <c r="S115" s="1"/>
      <c r="T115" s="1"/>
      <c r="U115" s="1"/>
      <c r="V115" s="1"/>
      <c r="W115" s="1"/>
      <c r="X115" s="1"/>
      <c r="Y115" s="1"/>
      <c r="Z115" s="1"/>
      <c r="AA115" s="98"/>
      <c r="AB115" s="1"/>
    </row>
    <row r="116" spans="1:28">
      <c r="A116" s="1" t="s">
        <v>214</v>
      </c>
      <c r="B116" s="1" t="s">
        <v>270</v>
      </c>
      <c r="C116" s="1" t="s">
        <v>654</v>
      </c>
      <c r="D116" s="1">
        <v>6</v>
      </c>
      <c r="E116" s="188">
        <v>33000</v>
      </c>
      <c r="F116" s="188">
        <v>42900</v>
      </c>
      <c r="G116" s="188">
        <v>51480</v>
      </c>
      <c r="H116" s="188" t="str">
        <f t="shared" si="11"/>
        <v>Yes</v>
      </c>
      <c r="I116" s="189">
        <f t="shared" si="9"/>
        <v>0.1</v>
      </c>
      <c r="J116" s="187">
        <f t="shared" si="10"/>
        <v>0.1</v>
      </c>
      <c r="K116" s="1"/>
      <c r="L116" s="1"/>
      <c r="M116" s="1"/>
      <c r="N116" s="1"/>
      <c r="O116" s="1"/>
      <c r="P116" s="1"/>
      <c r="Q116" s="1"/>
      <c r="R116" s="1"/>
      <c r="S116" s="1"/>
      <c r="T116" s="1"/>
      <c r="U116" s="1"/>
      <c r="V116" s="1"/>
      <c r="W116" s="1"/>
      <c r="X116" s="1"/>
      <c r="Y116" s="1"/>
      <c r="Z116" s="1"/>
      <c r="AA116" s="98"/>
      <c r="AB116" s="1"/>
    </row>
    <row r="117" spans="1:28">
      <c r="A117" s="1" t="s">
        <v>214</v>
      </c>
      <c r="B117" s="1" t="s">
        <v>272</v>
      </c>
      <c r="C117" s="1" t="s">
        <v>655</v>
      </c>
      <c r="D117" s="1">
        <v>7</v>
      </c>
      <c r="E117" s="188">
        <v>37000</v>
      </c>
      <c r="F117" s="188">
        <v>48100</v>
      </c>
      <c r="G117" s="188">
        <v>57720</v>
      </c>
      <c r="H117" s="188" t="str">
        <f t="shared" si="11"/>
        <v>Yes</v>
      </c>
      <c r="I117" s="189">
        <f t="shared" si="9"/>
        <v>0.15</v>
      </c>
      <c r="J117" s="187">
        <f t="shared" si="10"/>
        <v>0.15</v>
      </c>
      <c r="K117" s="1"/>
      <c r="L117" s="1"/>
      <c r="M117" s="1"/>
      <c r="N117" s="1"/>
      <c r="O117" s="1"/>
      <c r="P117" s="1"/>
      <c r="Q117" s="1"/>
      <c r="R117" s="1"/>
      <c r="S117" s="1"/>
      <c r="T117" s="1"/>
      <c r="U117" s="1"/>
      <c r="V117" s="1"/>
      <c r="W117" s="1"/>
      <c r="X117" s="1"/>
      <c r="Y117" s="1"/>
      <c r="Z117" s="1"/>
      <c r="AA117" s="98"/>
      <c r="AB117" s="1"/>
    </row>
    <row r="118" spans="1:28">
      <c r="A118" s="1"/>
      <c r="B118" s="1" t="s">
        <v>481</v>
      </c>
      <c r="C118" s="1"/>
      <c r="D118" s="1"/>
      <c r="E118" s="188">
        <v>58000</v>
      </c>
      <c r="F118" s="188">
        <v>75400</v>
      </c>
      <c r="G118" s="188">
        <v>90480</v>
      </c>
      <c r="H118" s="188" t="s">
        <v>157</v>
      </c>
      <c r="I118" s="189">
        <v>0.2</v>
      </c>
      <c r="J118" s="187">
        <v>0.2</v>
      </c>
      <c r="K118" s="1"/>
      <c r="L118" s="1"/>
      <c r="M118" s="1"/>
      <c r="N118" s="1"/>
      <c r="O118" s="1"/>
      <c r="P118" s="1"/>
      <c r="Q118" s="1"/>
      <c r="R118" s="1"/>
      <c r="S118" s="1"/>
      <c r="T118" s="1"/>
      <c r="U118" s="1"/>
      <c r="V118" s="1"/>
      <c r="W118" s="1"/>
      <c r="X118" s="1"/>
      <c r="Y118" s="1"/>
      <c r="Z118" s="1"/>
      <c r="AA118" s="98"/>
      <c r="AB118" s="1"/>
    </row>
    <row r="119" spans="1:28">
      <c r="A119" s="1"/>
      <c r="B119" s="1" t="s">
        <v>526</v>
      </c>
      <c r="C119" s="1"/>
      <c r="D119" s="1"/>
      <c r="E119" s="188">
        <v>66000</v>
      </c>
      <c r="F119" s="188">
        <v>85800</v>
      </c>
      <c r="G119" s="188">
        <v>102960</v>
      </c>
      <c r="H119" s="188" t="s">
        <v>157</v>
      </c>
      <c r="I119" s="189">
        <v>0.25</v>
      </c>
      <c r="J119" s="187">
        <v>0.25</v>
      </c>
      <c r="K119" s="1"/>
      <c r="L119" s="1"/>
      <c r="M119" s="1"/>
      <c r="N119" s="1"/>
      <c r="O119" s="1"/>
      <c r="P119" s="1"/>
      <c r="Q119" s="1"/>
      <c r="R119" s="1"/>
      <c r="S119" s="1"/>
      <c r="T119" s="1"/>
      <c r="U119" s="1"/>
      <c r="V119" s="1"/>
      <c r="W119" s="1"/>
      <c r="X119" s="1"/>
      <c r="Y119" s="1"/>
      <c r="Z119" s="1"/>
      <c r="AA119" s="98"/>
      <c r="AB119" s="1"/>
    </row>
    <row r="120" spans="1:28">
      <c r="A120" s="1"/>
      <c r="B120" s="1" t="s">
        <v>527</v>
      </c>
      <c r="C120" s="1"/>
      <c r="D120" s="1"/>
      <c r="E120" s="188">
        <v>225000</v>
      </c>
      <c r="F120" s="188">
        <v>292500</v>
      </c>
      <c r="G120" s="188">
        <v>351000</v>
      </c>
      <c r="H120" s="188" t="s">
        <v>157</v>
      </c>
      <c r="I120" s="189">
        <v>0.3</v>
      </c>
      <c r="J120" s="187">
        <v>0.3</v>
      </c>
      <c r="K120" s="1"/>
      <c r="L120" s="1"/>
      <c r="M120" s="1"/>
      <c r="N120" s="1"/>
      <c r="O120" s="1"/>
      <c r="P120" s="1"/>
      <c r="Q120" s="1"/>
      <c r="R120" s="1"/>
      <c r="S120" s="1"/>
      <c r="T120" s="1"/>
      <c r="U120" s="1"/>
      <c r="V120" s="1"/>
      <c r="W120" s="1"/>
      <c r="X120" s="1"/>
      <c r="Y120" s="1"/>
      <c r="Z120" s="1"/>
      <c r="AA120" s="98"/>
      <c r="AB12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0"/>
  <sheetViews>
    <sheetView workbookViewId="0"/>
  </sheetViews>
  <sheetFormatPr baseColWidth="10" defaultRowHeight="14"/>
  <cols>
    <col min="1" max="1" width="4.5" customWidth="1"/>
    <col min="2" max="2" width="10.6640625" customWidth="1"/>
    <col min="3" max="5" width="11.83203125" customWidth="1"/>
    <col min="6" max="6" width="13.6640625" customWidth="1"/>
    <col min="7" max="9" width="9.6640625" customWidth="1"/>
    <col min="10" max="10" width="9" customWidth="1"/>
    <col min="11" max="11" width="15.1640625" customWidth="1"/>
    <col min="12" max="12" width="13.33203125" customWidth="1"/>
    <col min="13" max="13" width="11.6640625" customWidth="1"/>
    <col min="14" max="14" width="12.6640625" customWidth="1"/>
    <col min="15" max="15" width="13.6640625" customWidth="1"/>
    <col min="16" max="17" width="8" customWidth="1"/>
    <col min="18" max="20" width="21.6640625" customWidth="1"/>
    <col min="21" max="22" width="8" customWidth="1"/>
    <col min="23" max="28" width="9" customWidth="1"/>
  </cols>
  <sheetData>
    <row r="1" spans="1:28" ht="18">
      <c r="A1" s="10"/>
      <c r="B1" s="292" t="s">
        <v>656</v>
      </c>
      <c r="C1" s="292"/>
      <c r="D1" s="292"/>
      <c r="E1" s="292"/>
      <c r="F1" s="292"/>
      <c r="G1" s="292"/>
      <c r="H1" s="292"/>
      <c r="I1" s="292"/>
      <c r="J1" s="10"/>
      <c r="K1" s="292" t="s">
        <v>657</v>
      </c>
      <c r="L1" s="292"/>
      <c r="M1" s="292"/>
      <c r="N1" s="292"/>
      <c r="O1" s="292"/>
      <c r="P1" s="292"/>
      <c r="Q1" s="292"/>
      <c r="R1" s="292"/>
      <c r="S1" s="11"/>
      <c r="T1" s="11"/>
      <c r="U1" s="37"/>
      <c r="V1" s="2"/>
      <c r="W1" s="1"/>
      <c r="X1" s="98"/>
      <c r="Y1" s="1"/>
      <c r="Z1" s="1"/>
      <c r="AA1" s="98"/>
      <c r="AB1" s="1"/>
    </row>
    <row r="2" spans="1:28">
      <c r="A2" s="10"/>
      <c r="B2" s="10"/>
      <c r="C2" s="10"/>
      <c r="D2" s="10"/>
      <c r="E2" s="10"/>
      <c r="F2" s="10"/>
      <c r="G2" s="10"/>
      <c r="H2" s="10"/>
      <c r="I2" s="10"/>
      <c r="J2" s="10"/>
      <c r="K2" s="10"/>
      <c r="L2" s="10"/>
      <c r="M2" s="10"/>
      <c r="N2" s="10"/>
      <c r="O2" s="10"/>
      <c r="P2" s="11"/>
      <c r="Q2" s="11"/>
      <c r="R2" s="11"/>
      <c r="S2" s="11"/>
      <c r="T2" s="11"/>
      <c r="U2" s="37"/>
      <c r="V2" s="2"/>
      <c r="W2" s="1"/>
      <c r="X2" s="98"/>
      <c r="Y2" s="1"/>
      <c r="Z2" s="1"/>
      <c r="AA2" s="98"/>
      <c r="AB2" s="1"/>
    </row>
    <row r="3" spans="1:28">
      <c r="A3" s="10"/>
      <c r="B3" s="293" t="s">
        <v>658</v>
      </c>
      <c r="C3" s="293"/>
      <c r="D3" s="293"/>
      <c r="E3" s="293"/>
      <c r="F3" s="293"/>
      <c r="G3" s="293"/>
      <c r="H3" s="293"/>
      <c r="I3" s="293"/>
      <c r="J3" s="10"/>
      <c r="K3" s="293" t="s">
        <v>659</v>
      </c>
      <c r="L3" s="293"/>
      <c r="M3" s="293"/>
      <c r="N3" s="293"/>
      <c r="O3" s="293"/>
      <c r="P3" s="293"/>
      <c r="Q3" s="293"/>
      <c r="R3" s="293"/>
      <c r="S3" s="12"/>
      <c r="T3" s="11"/>
      <c r="U3" s="37"/>
      <c r="V3" s="2"/>
      <c r="W3" s="1"/>
      <c r="X3" s="98"/>
      <c r="Y3" s="1"/>
      <c r="Z3" s="1"/>
      <c r="AA3" s="98"/>
      <c r="AB3" s="1"/>
    </row>
    <row r="4" spans="1:28">
      <c r="A4" s="10"/>
      <c r="B4" s="10"/>
      <c r="C4" s="10"/>
      <c r="D4" s="10"/>
      <c r="E4" s="10"/>
      <c r="F4" s="10"/>
      <c r="G4" s="10"/>
      <c r="H4" s="10"/>
      <c r="I4" s="10"/>
      <c r="J4" s="10"/>
      <c r="K4" s="10"/>
      <c r="L4" s="10"/>
      <c r="M4" s="10"/>
      <c r="N4" s="10"/>
      <c r="O4" s="10"/>
      <c r="P4" s="11"/>
      <c r="Q4" s="11"/>
      <c r="R4" s="11"/>
      <c r="S4" s="11"/>
      <c r="T4" s="11"/>
      <c r="U4" s="37"/>
      <c r="V4" s="2"/>
      <c r="W4" s="1"/>
      <c r="X4" s="98"/>
      <c r="Y4" s="1"/>
      <c r="Z4" s="1"/>
      <c r="AA4" s="98"/>
      <c r="AB4" s="1"/>
    </row>
    <row r="5" spans="1:28">
      <c r="A5" s="10"/>
      <c r="B5" s="293"/>
      <c r="C5" s="293"/>
      <c r="D5" s="293"/>
      <c r="E5" s="293"/>
      <c r="F5" s="293"/>
      <c r="G5" s="10"/>
      <c r="H5" s="10"/>
      <c r="I5" s="10"/>
      <c r="J5" s="10"/>
      <c r="K5" s="10"/>
      <c r="L5" s="10"/>
      <c r="M5" s="10"/>
      <c r="N5" s="10"/>
      <c r="O5" s="10"/>
      <c r="P5" s="11"/>
      <c r="Q5" s="11"/>
      <c r="R5" s="11"/>
      <c r="S5" s="11"/>
      <c r="T5" s="11"/>
      <c r="U5" s="37"/>
      <c r="V5" s="2"/>
      <c r="W5" s="1"/>
      <c r="X5" s="98"/>
      <c r="Y5" s="1"/>
      <c r="Z5" s="1"/>
      <c r="AA5" s="98"/>
      <c r="AB5" s="1"/>
    </row>
    <row r="6" spans="1:28">
      <c r="A6" s="10"/>
      <c r="B6" s="169" t="s">
        <v>51</v>
      </c>
      <c r="C6" s="96" t="s">
        <v>15</v>
      </c>
      <c r="D6" s="96" t="s">
        <v>660</v>
      </c>
      <c r="E6" s="96" t="s">
        <v>661</v>
      </c>
      <c r="F6" s="96" t="s">
        <v>662</v>
      </c>
      <c r="G6" s="10"/>
      <c r="H6" s="10"/>
      <c r="I6" s="10"/>
      <c r="J6" s="10"/>
      <c r="K6" s="170" t="s">
        <v>53</v>
      </c>
      <c r="L6" s="97" t="s">
        <v>15</v>
      </c>
      <c r="M6" s="97" t="s">
        <v>660</v>
      </c>
      <c r="N6" s="97" t="s">
        <v>661</v>
      </c>
      <c r="O6" s="97" t="s">
        <v>662</v>
      </c>
      <c r="P6" s="11"/>
      <c r="Q6" s="11"/>
      <c r="R6" s="11"/>
      <c r="S6" s="11"/>
      <c r="T6" s="11"/>
      <c r="U6" s="37"/>
      <c r="V6" s="2"/>
      <c r="W6" s="1"/>
      <c r="X6" s="98"/>
      <c r="Y6" s="1"/>
      <c r="Z6" s="1"/>
      <c r="AA6" s="98"/>
      <c r="AB6" s="1"/>
    </row>
    <row r="7" spans="1:28">
      <c r="A7" s="10"/>
      <c r="B7" s="10" t="s">
        <v>211</v>
      </c>
      <c r="C7" s="13">
        <f>SUMIFS(MeritBonus!$AF$7:$AF$500,MeritBonus!$K$7:$K$500,B7,MeritBonus!$AD$7:$AD$500,"Yes")</f>
        <v>33264.934999999998</v>
      </c>
      <c r="D7" s="13">
        <f>SUMIFS(MeritBonus!$AL$7:$AL$500,MeritBonus!$K$7:$K$500,B7,MeritBonus!$AD$7:$AD$500,"Yes")</f>
        <v>26824.817000000003</v>
      </c>
      <c r="E7" s="13">
        <f t="shared" ref="E7:E16" si="0">C7-D7</f>
        <v>6440.1179999999949</v>
      </c>
      <c r="F7" s="14">
        <f t="shared" ref="F7:F16" si="1">E7/C7</f>
        <v>0.19360079915983588</v>
      </c>
      <c r="G7" s="10"/>
      <c r="H7" s="10"/>
      <c r="I7" s="10"/>
      <c r="J7" s="10"/>
      <c r="K7" s="15" t="s">
        <v>177</v>
      </c>
      <c r="L7" s="13">
        <f>SUMIFS(MeritBonus!$AF$7:$AF$500,MeritBonus!$M$7:$M$500,K7,MeritBonus!$AD$7:$AD$500,"Yes")</f>
        <v>17537.46</v>
      </c>
      <c r="M7" s="13">
        <f>SUMIFS(MeritBonus!$AL$7:$AL$500,MeritBonus!$M$7:$M$500,K7,MeritBonus!$AD$7:$AD$500,"Yes")</f>
        <v>13351.945</v>
      </c>
      <c r="N7" s="13">
        <f t="shared" ref="N7:N19" si="2">L7-M7</f>
        <v>4185.5149999999994</v>
      </c>
      <c r="O7" s="14">
        <f t="shared" ref="O7:O19" si="3">N7/L7</f>
        <v>0.23866141391056628</v>
      </c>
      <c r="P7" s="11"/>
      <c r="Q7" s="11"/>
      <c r="R7" s="11"/>
      <c r="S7" s="11"/>
      <c r="T7" s="11"/>
      <c r="U7" s="37"/>
      <c r="V7" s="2"/>
      <c r="W7" s="1"/>
      <c r="X7" s="98"/>
      <c r="Y7" s="1"/>
      <c r="Z7" s="1"/>
      <c r="AA7" s="98"/>
      <c r="AB7" s="1"/>
    </row>
    <row r="8" spans="1:28">
      <c r="A8" s="10"/>
      <c r="B8" s="10" t="s">
        <v>153</v>
      </c>
      <c r="C8" s="13">
        <f>SUMIFS(MeritBonus!$AF$7:$AF$500,MeritBonus!$K$7:$K$500,B8,MeritBonus!$AD$7:$AD$500,"Yes")</f>
        <v>20903.900000000001</v>
      </c>
      <c r="D8" s="13">
        <f>SUMIFS(MeritBonus!$AL$7:$AL$500,MeritBonus!$K$7:$K$500,B8,MeritBonus!$AD$7:$AD$500,"Yes")</f>
        <v>16580.184999999998</v>
      </c>
      <c r="E8" s="13">
        <f t="shared" si="0"/>
        <v>4323.7150000000038</v>
      </c>
      <c r="F8" s="14">
        <f t="shared" si="1"/>
        <v>0.20683771927726421</v>
      </c>
      <c r="G8" s="10"/>
      <c r="H8" s="10"/>
      <c r="I8" s="10"/>
      <c r="J8" s="10"/>
      <c r="K8" s="15" t="s">
        <v>255</v>
      </c>
      <c r="L8" s="13">
        <f>SUMIFS(MeritBonus!$AF$7:$AF$500,MeritBonus!$M$7:$M$500,K8,MeritBonus!$AD$7:$AD$500,"Yes")</f>
        <v>13341.660000000002</v>
      </c>
      <c r="M8" s="13">
        <f>SUMIFS(MeritBonus!$AL$7:$AL$500,MeritBonus!$M$7:$M$500,K8,MeritBonus!$AD$7:$AD$500,"Yes")</f>
        <v>10632.5</v>
      </c>
      <c r="N8" s="13">
        <f t="shared" si="2"/>
        <v>2709.1600000000017</v>
      </c>
      <c r="O8" s="14">
        <f t="shared" si="3"/>
        <v>0.20306018891202454</v>
      </c>
      <c r="P8" s="11"/>
      <c r="Q8" s="11"/>
      <c r="R8" s="11"/>
      <c r="S8" s="11"/>
      <c r="T8" s="11"/>
      <c r="U8" s="37"/>
      <c r="V8" s="2"/>
      <c r="W8" s="1"/>
      <c r="X8" s="98"/>
      <c r="Y8" s="1"/>
      <c r="Z8" s="1"/>
      <c r="AA8" s="98"/>
      <c r="AB8" s="1"/>
    </row>
    <row r="9" spans="1:28">
      <c r="A9" s="10"/>
      <c r="B9" s="10" t="s">
        <v>253</v>
      </c>
      <c r="C9" s="13">
        <f>SUMIFS(MeritBonus!$AF$7:$AF$500,MeritBonus!$K$7:$K$500,B9,MeritBonus!$AD$7:$AD$500,"Yes")</f>
        <v>29609.07</v>
      </c>
      <c r="D9" s="13">
        <f>SUMIFS(MeritBonus!$AL$7:$AL$500,MeritBonus!$K$7:$K$500,B9,MeritBonus!$AD$7:$AD$500,"Yes")</f>
        <v>31233.042500000003</v>
      </c>
      <c r="E9" s="13">
        <f t="shared" si="0"/>
        <v>-1623.9725000000035</v>
      </c>
      <c r="F9" s="14">
        <f t="shared" si="1"/>
        <v>-5.4847129612649217E-2</v>
      </c>
      <c r="G9" s="10"/>
      <c r="H9" s="10"/>
      <c r="I9" s="10"/>
      <c r="J9" s="10"/>
      <c r="K9" s="15" t="s">
        <v>320</v>
      </c>
      <c r="L9" s="13">
        <f>SUMIFS(MeritBonus!$AF$7:$AF$500,MeritBonus!$M$7:$M$500,K9,MeritBonus!$AD$7:$AD$500,"Yes")</f>
        <v>15115.799999999997</v>
      </c>
      <c r="M9" s="13">
        <f>SUMIFS(MeritBonus!$AL$7:$AL$500,MeritBonus!$M$7:$M$500,K9,MeritBonus!$AD$7:$AD$500,"Yes")</f>
        <v>13052.235000000001</v>
      </c>
      <c r="N9" s="13">
        <f t="shared" si="2"/>
        <v>2063.5649999999969</v>
      </c>
      <c r="O9" s="14">
        <f t="shared" si="3"/>
        <v>0.13651708808002205</v>
      </c>
      <c r="P9" s="11"/>
      <c r="Q9" s="11"/>
      <c r="R9" s="11"/>
      <c r="S9" s="11"/>
      <c r="T9" s="11"/>
      <c r="U9" s="37"/>
      <c r="V9" s="2"/>
      <c r="W9" s="1"/>
      <c r="X9" s="98"/>
      <c r="Y9" s="1"/>
      <c r="Z9" s="1"/>
      <c r="AA9" s="98"/>
      <c r="AB9" s="1"/>
    </row>
    <row r="10" spans="1:28">
      <c r="A10" s="10"/>
      <c r="B10" s="10" t="s">
        <v>319</v>
      </c>
      <c r="C10" s="13">
        <f>SUMIFS(MeritBonus!$AF$7:$AF$500,MeritBonus!$K$7:$K$500,B10,MeritBonus!$AD$7:$AD$500,"Yes")</f>
        <v>21773.309999999998</v>
      </c>
      <c r="D10" s="13">
        <f>SUMIFS(MeritBonus!$AL$7:$AL$500,MeritBonus!$K$7:$K$500,B10,MeritBonus!$AD$7:$AD$500,"Yes")</f>
        <v>19173.785</v>
      </c>
      <c r="E10" s="13">
        <f t="shared" si="0"/>
        <v>2599.5249999999978</v>
      </c>
      <c r="F10" s="14">
        <f t="shared" si="1"/>
        <v>0.11939043719122164</v>
      </c>
      <c r="G10" s="10"/>
      <c r="H10" s="10"/>
      <c r="I10" s="10"/>
      <c r="J10" s="10"/>
      <c r="K10" s="15" t="s">
        <v>197</v>
      </c>
      <c r="L10" s="13">
        <f>SUMIFS(MeritBonus!$AF$7:$AF$500,MeritBonus!$M$7:$M$500,K10,MeritBonus!$AD$7:$AD$500,"Yes")</f>
        <v>32478.720000000001</v>
      </c>
      <c r="M10" s="13">
        <f>SUMIFS(MeritBonus!$AL$7:$AL$500,MeritBonus!$M$7:$M$500,K10,MeritBonus!$AD$7:$AD$500,"Yes")</f>
        <v>25657.001999999997</v>
      </c>
      <c r="N10" s="13">
        <f t="shared" si="2"/>
        <v>6821.7180000000044</v>
      </c>
      <c r="O10" s="14">
        <f t="shared" si="3"/>
        <v>0.21003654084890058</v>
      </c>
      <c r="P10" s="11"/>
      <c r="Q10" s="11"/>
      <c r="R10" s="11"/>
      <c r="S10" s="11"/>
      <c r="T10" s="11"/>
      <c r="U10" s="37"/>
      <c r="V10" s="2"/>
      <c r="W10" s="1"/>
      <c r="X10" s="98"/>
      <c r="Y10" s="1"/>
      <c r="Z10" s="1"/>
      <c r="AA10" s="98"/>
      <c r="AB10" s="1"/>
    </row>
    <row r="11" spans="1:28">
      <c r="A11" s="10"/>
      <c r="B11" s="10" t="s">
        <v>333</v>
      </c>
      <c r="C11" s="13">
        <f>SUMIFS(MeritBonus!$AF$7:$AF$500,MeritBonus!$K$7:$K$500,B11,MeritBonus!$AD$7:$AD$500,"Yes")</f>
        <v>25202.190000000002</v>
      </c>
      <c r="D11" s="13">
        <f>SUMIFS(MeritBonus!$AL$7:$AL$500,MeritBonus!$K$7:$K$500,B11,MeritBonus!$AD$7:$AD$500,"Yes")</f>
        <v>20790.935000000001</v>
      </c>
      <c r="E11" s="13">
        <f t="shared" si="0"/>
        <v>4411.255000000001</v>
      </c>
      <c r="F11" s="14">
        <f t="shared" si="1"/>
        <v>0.17503459024791101</v>
      </c>
      <c r="G11" s="10"/>
      <c r="H11" s="10"/>
      <c r="I11" s="10"/>
      <c r="J11" s="10"/>
      <c r="K11" s="15" t="s">
        <v>287</v>
      </c>
      <c r="L11" s="13">
        <f>SUMIFS(MeritBonus!$AF$7:$AF$500,MeritBonus!$M$7:$M$500,K11,MeritBonus!$AD$7:$AD$500,"Yes")</f>
        <v>12754.02</v>
      </c>
      <c r="M11" s="13">
        <f>SUMIFS(MeritBonus!$AL$7:$AL$500,MeritBonus!$M$7:$M$500,K11,MeritBonus!$AD$7:$AD$500,"Yes")</f>
        <v>10666.965</v>
      </c>
      <c r="N11" s="13">
        <f t="shared" si="2"/>
        <v>2087.0550000000003</v>
      </c>
      <c r="O11" s="14">
        <f t="shared" si="3"/>
        <v>0.16363899382312402</v>
      </c>
      <c r="P11" s="11"/>
      <c r="Q11" s="11"/>
      <c r="R11" s="11"/>
      <c r="S11" s="11"/>
      <c r="T11" s="11"/>
      <c r="U11" s="37"/>
      <c r="V11" s="2"/>
      <c r="W11" s="1"/>
      <c r="X11" s="98"/>
      <c r="Y11" s="1"/>
      <c r="Z11" s="1"/>
      <c r="AA11" s="98"/>
      <c r="AB11" s="1"/>
    </row>
    <row r="12" spans="1:28">
      <c r="A12" s="10"/>
      <c r="B12" s="10" t="s">
        <v>221</v>
      </c>
      <c r="C12" s="13">
        <f>SUMIFS(MeritBonus!$AF$7:$AF$500,MeritBonus!$K$7:$K$500,B12,MeritBonus!$AD$7:$AD$500,"Yes")</f>
        <v>16538.399999999998</v>
      </c>
      <c r="D12" s="13">
        <f>SUMIFS(MeritBonus!$AL$7:$AL$500,MeritBonus!$K$7:$K$500,B12,MeritBonus!$AD$7:$AD$500,"Yes")</f>
        <v>13229.195000000002</v>
      </c>
      <c r="E12" s="13">
        <f t="shared" si="0"/>
        <v>3309.2049999999963</v>
      </c>
      <c r="F12" s="14">
        <f t="shared" si="1"/>
        <v>0.20009220964543104</v>
      </c>
      <c r="G12" s="14"/>
      <c r="H12" s="14"/>
      <c r="I12" s="14"/>
      <c r="J12" s="10"/>
      <c r="K12" s="15" t="s">
        <v>203</v>
      </c>
      <c r="L12" s="13">
        <f>SUMIFS(MeritBonus!$AF$7:$AF$500,MeritBonus!$M$7:$M$500,K12,MeritBonus!$AD$7:$AD$500,"Yes")</f>
        <v>7107.2999999999993</v>
      </c>
      <c r="M12" s="13">
        <f>SUMIFS(MeritBonus!$AL$7:$AL$500,MeritBonus!$M$7:$M$500,K12,MeritBonus!$AD$7:$AD$500,"Yes")</f>
        <v>5661.8940000000002</v>
      </c>
      <c r="N12" s="13">
        <f t="shared" si="2"/>
        <v>1445.405999999999</v>
      </c>
      <c r="O12" s="14">
        <f t="shared" si="3"/>
        <v>0.20336921193702237</v>
      </c>
      <c r="P12" s="11"/>
      <c r="Q12" s="11"/>
      <c r="R12" s="11"/>
      <c r="S12" s="11"/>
      <c r="T12" s="11"/>
      <c r="U12" s="37"/>
      <c r="V12" s="2"/>
      <c r="W12" s="1"/>
      <c r="X12" s="98"/>
      <c r="Y12" s="1"/>
      <c r="Z12" s="1"/>
      <c r="AA12" s="98"/>
      <c r="AB12" s="1"/>
    </row>
    <row r="13" spans="1:28">
      <c r="A13" s="10"/>
      <c r="B13" s="10" t="s">
        <v>480</v>
      </c>
      <c r="C13" s="13">
        <f>SUMIFS(MeritBonus!$AF$7:$AF$500,MeritBonus!$K$7:$K$500,B13,MeritBonus!$AD$7:$AD$500,"Yes")</f>
        <v>13832.699999999999</v>
      </c>
      <c r="D13" s="13">
        <f>SUMIFS(MeritBonus!$AL$7:$AL$500,MeritBonus!$K$7:$K$500,B13,MeritBonus!$AD$7:$AD$500,"Yes")</f>
        <v>11774.580000000002</v>
      </c>
      <c r="E13" s="13">
        <f t="shared" si="0"/>
        <v>2058.1199999999972</v>
      </c>
      <c r="F13" s="14">
        <f t="shared" si="1"/>
        <v>0.14878657095144096</v>
      </c>
      <c r="G13" s="14"/>
      <c r="H13" s="14"/>
      <c r="I13" s="14"/>
      <c r="J13" s="10"/>
      <c r="K13" s="15" t="s">
        <v>334</v>
      </c>
      <c r="L13" s="13">
        <f>SUMIFS(MeritBonus!$AF$7:$AF$500,MeritBonus!$M$7:$M$500,K13,MeritBonus!$AD$7:$AD$500,"Yes")</f>
        <v>23509.170000000002</v>
      </c>
      <c r="M13" s="13">
        <f>SUMIFS(MeritBonus!$AL$7:$AL$500,MeritBonus!$M$7:$M$500,K13,MeritBonus!$AD$7:$AD$500,"Yes")</f>
        <v>19097.915000000001</v>
      </c>
      <c r="N13" s="13">
        <f t="shared" si="2"/>
        <v>4411.255000000001</v>
      </c>
      <c r="O13" s="14">
        <f t="shared" si="3"/>
        <v>0.18763975929392662</v>
      </c>
      <c r="P13" s="11"/>
      <c r="Q13" s="11"/>
      <c r="R13" s="11"/>
      <c r="S13" s="11"/>
      <c r="T13" s="11"/>
      <c r="U13" s="37"/>
      <c r="V13" s="2"/>
      <c r="W13" s="1"/>
      <c r="X13" s="98"/>
      <c r="Y13" s="1"/>
      <c r="Z13" s="1"/>
      <c r="AA13" s="98"/>
      <c r="AB13" s="1"/>
    </row>
    <row r="14" spans="1:28">
      <c r="A14" s="10"/>
      <c r="B14" s="10" t="s">
        <v>193</v>
      </c>
      <c r="C14" s="13">
        <f>SUMIFS(MeritBonus!$AF$7:$AF$500,MeritBonus!$K$7:$K$500,B14,MeritBonus!$AD$7:$AD$500,"Yes")</f>
        <v>10874.76</v>
      </c>
      <c r="D14" s="13">
        <f>SUMIFS(MeritBonus!$AL$7:$AL$500,MeritBonus!$K$7:$K$500,B14,MeritBonus!$AD$7:$AD$500,"Yes")</f>
        <v>8397.7990000000009</v>
      </c>
      <c r="E14" s="13">
        <f t="shared" si="0"/>
        <v>2476.9609999999993</v>
      </c>
      <c r="F14" s="14">
        <f t="shared" si="1"/>
        <v>0.22777155541823446</v>
      </c>
      <c r="G14" s="14"/>
      <c r="H14" s="14"/>
      <c r="I14" s="14"/>
      <c r="J14" s="10"/>
      <c r="K14" s="15" t="s">
        <v>198</v>
      </c>
      <c r="L14" s="13">
        <f>SUMIFS(MeritBonus!$AF$7:$AF$500,MeritBonus!$M$7:$M$500,K14,MeritBonus!$AD$7:$AD$500,"Yes")</f>
        <v>39142.74500000001</v>
      </c>
      <c r="M14" s="13">
        <f>SUMIFS(MeritBonus!$AL$7:$AL$500,MeritBonus!$M$7:$M$500,K14,MeritBonus!$AD$7:$AD$500,"Yes")</f>
        <v>31460.803000000004</v>
      </c>
      <c r="N14" s="13">
        <f t="shared" si="2"/>
        <v>7681.9420000000064</v>
      </c>
      <c r="O14" s="14">
        <f t="shared" si="3"/>
        <v>0.19625455496286742</v>
      </c>
      <c r="P14" s="11"/>
      <c r="Q14" s="11"/>
      <c r="R14" s="11"/>
      <c r="S14" s="11"/>
      <c r="T14" s="11"/>
      <c r="U14" s="37"/>
      <c r="V14" s="2"/>
      <c r="W14" s="1"/>
      <c r="X14" s="98"/>
      <c r="Y14" s="1"/>
      <c r="Z14" s="1"/>
      <c r="AA14" s="98"/>
      <c r="AB14" s="1"/>
    </row>
    <row r="15" spans="1:28">
      <c r="A15" s="10"/>
      <c r="B15" s="10" t="s">
        <v>209</v>
      </c>
      <c r="C15" s="13">
        <f>SUMIFS(MeritBonus!$AF$7:$AF$500,MeritBonus!$K$7:$K$500,B15,MeritBonus!$AD$7:$AD$500,"Yes")</f>
        <v>35736.510000000009</v>
      </c>
      <c r="D15" s="13">
        <f>SUMIFS(MeritBonus!$AL$7:$AL$500,MeritBonus!$K$7:$K$500,B15,MeritBonus!$AD$7:$AD$500,"Yes")</f>
        <v>30422.957999999999</v>
      </c>
      <c r="E15" s="13">
        <f t="shared" si="0"/>
        <v>5313.5520000000106</v>
      </c>
      <c r="F15" s="14">
        <f t="shared" si="1"/>
        <v>0.14868693109651751</v>
      </c>
      <c r="G15" s="14"/>
      <c r="H15" s="14"/>
      <c r="I15" s="14"/>
      <c r="J15" s="10"/>
      <c r="K15" s="15" t="s">
        <v>163</v>
      </c>
      <c r="L15" s="13">
        <f>SUMIFS(MeritBonus!$AF$7:$AF$500,MeritBonus!$M$7:$M$500,K15,MeritBonus!$AD$7:$AD$500,"Yes")</f>
        <v>2275.5</v>
      </c>
      <c r="M15" s="13">
        <f>SUMIFS(MeritBonus!$AL$7:$AL$500,MeritBonus!$M$7:$M$500,K15,MeritBonus!$AD$7:$AD$500,"Yes")</f>
        <v>1000</v>
      </c>
      <c r="N15" s="13">
        <f t="shared" si="2"/>
        <v>1275.5</v>
      </c>
      <c r="O15" s="14">
        <f t="shared" si="3"/>
        <v>0.56053614590199952</v>
      </c>
      <c r="P15" s="11"/>
      <c r="Q15" s="11"/>
      <c r="R15" s="11"/>
      <c r="S15" s="11"/>
      <c r="T15" s="11"/>
      <c r="U15" s="37"/>
      <c r="V15" s="2"/>
      <c r="W15" s="1"/>
      <c r="X15" s="98"/>
      <c r="Y15" s="1"/>
      <c r="Z15" s="1"/>
      <c r="AA15" s="98"/>
      <c r="AB15" s="1"/>
    </row>
    <row r="16" spans="1:28">
      <c r="A16" s="10"/>
      <c r="B16" s="10" t="s">
        <v>328</v>
      </c>
      <c r="C16" s="13">
        <f>SUMIFS(MeritBonus!$AF$7:$AF$500,MeritBonus!$K$7:$K$500,B16,MeritBonus!$AD$7:$AD$500,"Yes")</f>
        <v>20740.949999999997</v>
      </c>
      <c r="D16" s="13">
        <f>SUMIFS(MeritBonus!$AL$7:$AL$500,MeritBonus!$K$7:$K$500,B16,MeritBonus!$AD$7:$AD$500,"Yes")</f>
        <v>15342.42</v>
      </c>
      <c r="E16" s="13">
        <f t="shared" si="0"/>
        <v>5398.529999999997</v>
      </c>
      <c r="F16" s="14">
        <f t="shared" si="1"/>
        <v>0.26028364178111407</v>
      </c>
      <c r="G16" s="14"/>
      <c r="H16" s="14"/>
      <c r="I16" s="14"/>
      <c r="J16" s="10"/>
      <c r="K16" s="15" t="s">
        <v>254</v>
      </c>
      <c r="L16" s="13">
        <f>SUMIFS(MeritBonus!$AF$7:$AF$500,MeritBonus!$M$7:$M$500,K16,MeritBonus!$AD$7:$AD$500,"Yes")</f>
        <v>21204.12</v>
      </c>
      <c r="M16" s="13">
        <f>SUMIFS(MeritBonus!$AL$7:$AL$500,MeritBonus!$M$7:$M$500,K16,MeritBonus!$AD$7:$AD$500,"Yes")</f>
        <v>17663.042500000003</v>
      </c>
      <c r="N16" s="13">
        <f t="shared" si="2"/>
        <v>3541.0774999999958</v>
      </c>
      <c r="O16" s="14">
        <f t="shared" si="3"/>
        <v>0.1669995029267895</v>
      </c>
      <c r="P16" s="11"/>
      <c r="Q16" s="11"/>
      <c r="R16" s="11"/>
      <c r="S16" s="11"/>
      <c r="T16" s="11"/>
      <c r="U16" s="37"/>
      <c r="V16" s="2"/>
      <c r="W16" s="1"/>
      <c r="X16" s="98"/>
      <c r="Y16" s="1"/>
      <c r="Z16" s="1"/>
      <c r="AA16" s="98"/>
      <c r="AB16" s="1"/>
    </row>
    <row r="17" spans="1:28">
      <c r="A17" s="10"/>
      <c r="B17" s="28"/>
      <c r="C17" s="29">
        <f>SUM(C7:C16)</f>
        <v>228476.72500000003</v>
      </c>
      <c r="D17" s="29">
        <f>SUM(D7:D16)</f>
        <v>193769.71650000001</v>
      </c>
      <c r="E17" s="29">
        <f>SUM(E7:E16)</f>
        <v>34707.008499999989</v>
      </c>
      <c r="F17" s="30"/>
      <c r="G17" s="10"/>
      <c r="H17" s="10"/>
      <c r="I17" s="10"/>
      <c r="J17" s="10"/>
      <c r="K17" s="15" t="s">
        <v>154</v>
      </c>
      <c r="L17" s="13">
        <f>SUMIFS(MeritBonus!$AF$7:$AF$500,MeritBonus!$M$7:$M$500,K17,MeritBonus!$AD$7:$AD$500,"Yes")</f>
        <v>26502.02</v>
      </c>
      <c r="M17" s="13">
        <f>SUMIFS(MeritBonus!$AL$7:$AL$500,MeritBonus!$M$7:$M$500,K17,MeritBonus!$AD$7:$AD$500,"Yes")</f>
        <v>18728.559999999998</v>
      </c>
      <c r="N17" s="13">
        <f t="shared" si="2"/>
        <v>7773.4600000000028</v>
      </c>
      <c r="O17" s="14">
        <f t="shared" si="3"/>
        <v>0.29331575479906824</v>
      </c>
      <c r="P17" s="11"/>
      <c r="Q17" s="11"/>
      <c r="R17" s="11"/>
      <c r="S17" s="11"/>
      <c r="T17" s="11"/>
      <c r="U17" s="37"/>
      <c r="V17" s="2"/>
      <c r="W17" s="1"/>
      <c r="X17" s="98"/>
      <c r="Y17" s="1"/>
      <c r="Z17" s="1"/>
      <c r="AA17" s="98"/>
      <c r="AB17" s="1"/>
    </row>
    <row r="18" spans="1:28">
      <c r="A18" s="1"/>
      <c r="B18" s="1"/>
      <c r="C18" s="1"/>
      <c r="D18" s="1"/>
      <c r="E18" s="1"/>
      <c r="F18" s="1"/>
      <c r="G18" s="1"/>
      <c r="H18" s="1"/>
      <c r="I18" s="1"/>
      <c r="J18" s="1"/>
      <c r="K18" s="15" t="s">
        <v>161</v>
      </c>
      <c r="L18" s="13">
        <f>SUMIFS(MeritBonus!$AF$7:$AF$500,MeritBonus!$M$7:$M$500,K18,MeritBonus!$AD$7:$AD$500,"Yes")</f>
        <v>6147.3600000000006</v>
      </c>
      <c r="M18" s="13">
        <f>SUMIFS(MeritBonus!$AL$7:$AL$500,MeritBonus!$M$7:$M$500,K18,MeritBonus!$AD$7:$AD$500,"Yes")</f>
        <v>6346.9750000000004</v>
      </c>
      <c r="N18" s="13">
        <f t="shared" si="2"/>
        <v>-199.61499999999978</v>
      </c>
      <c r="O18" s="14">
        <f t="shared" si="3"/>
        <v>-3.2471662632414529E-2</v>
      </c>
      <c r="P18" s="1"/>
      <c r="Q18" s="1"/>
      <c r="R18" s="1"/>
      <c r="S18" s="1"/>
      <c r="T18" s="1"/>
      <c r="U18" s="1"/>
      <c r="V18" s="1"/>
      <c r="W18" s="1"/>
      <c r="X18" s="98"/>
      <c r="Y18" s="1"/>
      <c r="Z18" s="1"/>
      <c r="AA18" s="98"/>
      <c r="AB18" s="1"/>
    </row>
    <row r="19" spans="1:28">
      <c r="A19" s="1"/>
      <c r="B19" s="3"/>
      <c r="C19" s="1"/>
      <c r="D19" s="1"/>
      <c r="E19" s="1"/>
      <c r="F19" s="1"/>
      <c r="G19" s="1"/>
      <c r="H19" s="1"/>
      <c r="I19" s="1"/>
      <c r="J19" s="1"/>
      <c r="K19" s="15" t="s">
        <v>162</v>
      </c>
      <c r="L19" s="13">
        <f>SUMIFS(MeritBonus!$AF$7:$AF$500,MeritBonus!$M$7:$M$500,K19,MeritBonus!$AD$7:$AD$500,"Yes")</f>
        <v>3860.8499999999995</v>
      </c>
      <c r="M19" s="13">
        <f>SUMIFS(MeritBonus!$AL$7:$AL$500,MeritBonus!$M$7:$M$500,K19,MeritBonus!$AD$7:$AD$500,"Yes")</f>
        <v>5449.8799999999992</v>
      </c>
      <c r="N19" s="13">
        <f t="shared" si="2"/>
        <v>-1589.0299999999997</v>
      </c>
      <c r="O19" s="14">
        <f t="shared" si="3"/>
        <v>-0.41157517127057514</v>
      </c>
      <c r="P19" s="1"/>
      <c r="Q19" s="1"/>
      <c r="R19" s="1"/>
      <c r="S19" s="1"/>
      <c r="T19" s="1"/>
      <c r="U19" s="1"/>
      <c r="V19" s="1"/>
      <c r="W19" s="1"/>
      <c r="X19" s="98"/>
      <c r="Y19" s="1"/>
      <c r="Z19" s="1"/>
      <c r="AA19" s="98"/>
      <c r="AB19" s="1"/>
    </row>
    <row r="20" spans="1:28">
      <c r="A20" s="1"/>
      <c r="B20" s="3"/>
      <c r="C20" s="1"/>
      <c r="D20" s="1"/>
      <c r="E20" s="1"/>
      <c r="F20" s="1"/>
      <c r="G20" s="1"/>
      <c r="H20" s="1"/>
      <c r="I20" s="1"/>
      <c r="J20" s="1"/>
      <c r="K20" s="1"/>
      <c r="L20" s="29">
        <f>SUM(L7:L19)</f>
        <v>220976.72500000001</v>
      </c>
      <c r="M20" s="29">
        <f>SUM(M7:M19)</f>
        <v>178769.71650000001</v>
      </c>
      <c r="N20" s="29">
        <f>SUM(N7:N19)</f>
        <v>42207.008500000018</v>
      </c>
      <c r="O20" s="1"/>
      <c r="P20" s="1"/>
      <c r="Q20" s="1"/>
      <c r="R20" s="1"/>
      <c r="S20" s="1"/>
      <c r="T20" s="1"/>
      <c r="U20" s="1"/>
      <c r="V20" s="1"/>
      <c r="W20" s="1"/>
      <c r="X20" s="98"/>
      <c r="Y20" s="1"/>
      <c r="Z20" s="1"/>
      <c r="AA20" s="98"/>
      <c r="AB20" s="1"/>
    </row>
  </sheetData>
  <mergeCells count="5">
    <mergeCell ref="B1:I1"/>
    <mergeCell ref="K1:R1"/>
    <mergeCell ref="B3:I3"/>
    <mergeCell ref="K3:R3"/>
    <mergeCell ref="B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7"/>
  <sheetViews>
    <sheetView workbookViewId="0"/>
  </sheetViews>
  <sheetFormatPr baseColWidth="10" defaultRowHeight="14"/>
  <cols>
    <col min="1" max="1" width="14.5" customWidth="1"/>
    <col min="2" max="5" width="13.83203125" customWidth="1"/>
    <col min="6" max="6" width="1.6640625" customWidth="1"/>
    <col min="7" max="11" width="13.83203125" customWidth="1"/>
    <col min="12" max="12" width="1.6640625" customWidth="1"/>
    <col min="13" max="13" width="13.83203125" customWidth="1"/>
    <col min="14" max="14" width="1.6640625" customWidth="1"/>
    <col min="15" max="18" width="13.83203125" customWidth="1"/>
    <col min="19" max="19" width="1.6640625" customWidth="1"/>
    <col min="20" max="23" width="13.83203125" customWidth="1"/>
    <col min="24" max="24" width="1.6640625" customWidth="1"/>
    <col min="25" max="29" width="9" customWidth="1"/>
  </cols>
  <sheetData>
    <row r="1" spans="1:29" ht="18">
      <c r="A1" s="3"/>
      <c r="B1" s="294" t="s">
        <v>663</v>
      </c>
      <c r="C1" s="294"/>
      <c r="D1" s="294"/>
      <c r="E1" s="294"/>
      <c r="F1" s="294"/>
      <c r="G1" s="294"/>
      <c r="H1" s="294"/>
      <c r="I1" s="294"/>
      <c r="J1" s="294"/>
      <c r="K1" s="294"/>
      <c r="L1" s="294"/>
      <c r="M1" s="294"/>
      <c r="N1" s="294"/>
      <c r="O1" s="294"/>
      <c r="P1" s="294"/>
      <c r="Q1" s="294"/>
      <c r="R1" s="294"/>
      <c r="S1" s="294"/>
      <c r="T1" s="294"/>
      <c r="U1" s="294"/>
      <c r="V1" s="294"/>
      <c r="W1" s="294"/>
      <c r="X1" s="84"/>
      <c r="Y1" s="1" t="s">
        <v>664</v>
      </c>
      <c r="Z1" s="1"/>
      <c r="AA1" s="1"/>
      <c r="AB1" s="98"/>
      <c r="AC1" s="1"/>
    </row>
    <row r="2" spans="1:29" ht="18">
      <c r="A2" s="3"/>
      <c r="B2" s="295" t="s">
        <v>665</v>
      </c>
      <c r="C2" s="295"/>
      <c r="D2" s="295"/>
      <c r="E2" s="295"/>
      <c r="F2" s="84"/>
      <c r="G2" s="296" t="s">
        <v>38</v>
      </c>
      <c r="H2" s="296"/>
      <c r="I2" s="296"/>
      <c r="J2" s="296"/>
      <c r="K2" s="296"/>
      <c r="L2" s="84"/>
      <c r="M2" s="171" t="s">
        <v>39</v>
      </c>
      <c r="N2" s="84"/>
      <c r="O2" s="297" t="s">
        <v>40</v>
      </c>
      <c r="P2" s="297"/>
      <c r="Q2" s="297"/>
      <c r="R2" s="297"/>
      <c r="S2" s="84"/>
      <c r="T2" s="298" t="s">
        <v>666</v>
      </c>
      <c r="U2" s="298"/>
      <c r="V2" s="298"/>
      <c r="W2" s="298"/>
      <c r="X2" s="84"/>
      <c r="Y2" s="1" t="s">
        <v>664</v>
      </c>
      <c r="Z2" s="1"/>
      <c r="AA2" s="1"/>
      <c r="AB2" s="98"/>
      <c r="AC2" s="1"/>
    </row>
    <row r="3" spans="1:29" ht="26">
      <c r="A3" s="177"/>
      <c r="B3" s="257" t="s">
        <v>667</v>
      </c>
      <c r="C3" s="257" t="s">
        <v>668</v>
      </c>
      <c r="D3" s="258" t="s">
        <v>669</v>
      </c>
      <c r="E3" s="257" t="s">
        <v>670</v>
      </c>
      <c r="F3" s="87"/>
      <c r="G3" s="259" t="s">
        <v>671</v>
      </c>
      <c r="H3" s="261" t="s">
        <v>672</v>
      </c>
      <c r="I3" s="259" t="s">
        <v>673</v>
      </c>
      <c r="J3" s="260" t="s">
        <v>669</v>
      </c>
      <c r="K3" s="259" t="s">
        <v>670</v>
      </c>
      <c r="L3" s="87"/>
      <c r="M3" s="173" t="s">
        <v>674</v>
      </c>
      <c r="N3" s="87"/>
      <c r="O3" s="91" t="s">
        <v>675</v>
      </c>
      <c r="P3" s="91" t="s">
        <v>676</v>
      </c>
      <c r="Q3" s="91" t="s">
        <v>669</v>
      </c>
      <c r="R3" s="90" t="s">
        <v>670</v>
      </c>
      <c r="S3" s="87"/>
      <c r="T3" s="255" t="s">
        <v>677</v>
      </c>
      <c r="U3" s="255" t="s">
        <v>678</v>
      </c>
      <c r="V3" s="255" t="s">
        <v>679</v>
      </c>
      <c r="W3" s="256" t="s">
        <v>670</v>
      </c>
      <c r="X3" s="87"/>
      <c r="Y3" s="1" t="s">
        <v>664</v>
      </c>
      <c r="Z3" s="1"/>
      <c r="AA3" s="1"/>
      <c r="AB3" s="98"/>
      <c r="AC3" s="1"/>
    </row>
    <row r="4" spans="1:29">
      <c r="A4" s="36" t="s">
        <v>53</v>
      </c>
      <c r="B4" s="92">
        <f>SUM(B5:B20)</f>
        <v>80217.72</v>
      </c>
      <c r="C4" s="92">
        <f>SUM(C5:C20)</f>
        <v>0</v>
      </c>
      <c r="D4" s="92">
        <f>SUM(D5:D20)</f>
        <v>80217.72</v>
      </c>
      <c r="E4" s="93">
        <f t="shared" ref="E4:E17" si="0">IFERROR(D4/B4,0)</f>
        <v>1</v>
      </c>
      <c r="F4" s="88"/>
      <c r="G4" s="92">
        <f>SUM(G5:G20)</f>
        <v>220976.72500000001</v>
      </c>
      <c r="H4" s="92">
        <f>SUM(H5:H20)</f>
        <v>26774.774999999994</v>
      </c>
      <c r="I4" s="92">
        <f>SUM(I5:I20)</f>
        <v>151994.94150000004</v>
      </c>
      <c r="J4" s="92">
        <f>SUM(J5:J20)</f>
        <v>42207.008500000004</v>
      </c>
      <c r="K4" s="93">
        <f t="shared" ref="K4:K17" si="1">IFERROR(J4/G4,0)</f>
        <v>0.19100205462815145</v>
      </c>
      <c r="L4" s="88"/>
      <c r="M4" s="92">
        <f>SUM(M5:M20)</f>
        <v>0</v>
      </c>
      <c r="N4" s="88"/>
      <c r="O4" s="92">
        <f>SUM(O5:O20)</f>
        <v>542520.17999999993</v>
      </c>
      <c r="P4" s="92">
        <f>SUM(P5:P20)</f>
        <v>542499.12</v>
      </c>
      <c r="Q4" s="92">
        <f>SUM(Q5:Q20)</f>
        <v>21.059999999997672</v>
      </c>
      <c r="R4" s="93">
        <f t="shared" ref="R4:R17" si="2">IFERROR(Q4/O4,0)</f>
        <v>3.8818832508677697E-5</v>
      </c>
      <c r="S4" s="88"/>
      <c r="T4" s="92">
        <f>SUM(T5:T17)</f>
        <v>387737.00000000006</v>
      </c>
      <c r="U4" s="92">
        <f>SUM(U5:U17)</f>
        <v>0</v>
      </c>
      <c r="V4" s="92">
        <f>SUM(V5:V17)</f>
        <v>387737.00000000006</v>
      </c>
      <c r="W4" s="93">
        <f t="shared" ref="W4:W17" si="3">IFERROR(V4/T4,0)</f>
        <v>1</v>
      </c>
      <c r="X4" s="88"/>
      <c r="Y4" s="1" t="s">
        <v>664</v>
      </c>
      <c r="Z4" s="1"/>
      <c r="AA4" s="1"/>
      <c r="AB4" s="98"/>
      <c r="AC4" s="1"/>
    </row>
    <row r="5" spans="1:29">
      <c r="A5" s="15" t="s">
        <v>154</v>
      </c>
      <c r="B5" s="94">
        <f>SUMIFS(MeritBonus!$AA$7:$AA$500,MeritBonus!$M$7:$M$500,A5,MeritBonus!$X$7:$X$500,"Yes")</f>
        <v>10342.939999999999</v>
      </c>
      <c r="C5" s="94">
        <f>SUMIFS(MeritBonus!$AB$7:$AB$500,MeritBonus!$M$7:$M$500,A5,MeritBonus!$X$7:$X$500,"Yes")</f>
        <v>0</v>
      </c>
      <c r="D5" s="94">
        <f t="shared" ref="D5:D17" si="4">B5-C5</f>
        <v>10342.939999999999</v>
      </c>
      <c r="E5" s="95">
        <f t="shared" si="0"/>
        <v>1</v>
      </c>
      <c r="F5" s="89"/>
      <c r="G5" s="94">
        <f>SUMIFS(MeritBonus!$AF$7:$AF$500,MeritBonus!$M$7:$M$500,A5,MeritBonus!$AD$7:$AD$500,"Yes")</f>
        <v>26502.02</v>
      </c>
      <c r="H5" s="94">
        <f>SUMIFS(MeritBonus!$AQ$7:$AQ$500,MeritBonus!$M$7:$M$500,A5,MeritBonus!$AD$7:$AD$500,"Yes")</f>
        <v>5502.3799999999974</v>
      </c>
      <c r="I5" s="94">
        <f>SUMIFS(MeritBonus!$AS$7:$AS$500,MeritBonus!$M$7:$M$500,A5,MeritBonus!$AD$7:$AD$500,"Yes")</f>
        <v>13226.180000000004</v>
      </c>
      <c r="J5" s="94">
        <f t="shared" ref="J5:J17" si="5">G5-(H5+I5)</f>
        <v>7773.4599999999991</v>
      </c>
      <c r="K5" s="95">
        <f t="shared" si="1"/>
        <v>0.29331575479906813</v>
      </c>
      <c r="L5" s="89"/>
      <c r="M5" s="94">
        <f>SUMIFS(MeritBonus!$BF$7:$BF$500,MeritBonus!$M$7:$M$500,A5,MeritBonus!$BA$7:$BA$500,"Yes")</f>
        <v>0</v>
      </c>
      <c r="N5" s="89"/>
      <c r="O5" s="94">
        <f>SUMIFS(MeritBonus!$BT$7:$BT$500,MeritBonus!$M$7:$M$500,A5,MeritBonus!$BO$7:$BO$500,"Yes")</f>
        <v>86038.85000000002</v>
      </c>
      <c r="P5" s="94">
        <f>SUMIFS(MeritBonus!$BW$7:$BW$500,MeritBonus!$M$7:$M$500,A5,MeritBonus!$BO$7:$BO$500,"Yes")</f>
        <v>86017.790000000023</v>
      </c>
      <c r="Q5" s="94">
        <f t="shared" ref="Q5:Q17" si="6">O5-P5</f>
        <v>21.059999999997672</v>
      </c>
      <c r="R5" s="95">
        <f t="shared" si="2"/>
        <v>2.4477314608456144E-4</v>
      </c>
      <c r="S5" s="89"/>
      <c r="T5" s="94">
        <f>SUMIFS(MeritBonus!$CB$7:$CB$500,MeritBonus!$M$7:$M$500,A5,MeritBonus!$BZ$7:$BZ$500,"Yes")</f>
        <v>66395.800000000017</v>
      </c>
      <c r="U5" s="94">
        <f>SUMIFS(MeritBonus!$CC$7:$CC$500,MeritBonus!$M$7:$M$500,A5,MeritBonus!$BZ$7:$BZ$500,"Yes")</f>
        <v>0</v>
      </c>
      <c r="V5" s="94">
        <f t="shared" ref="V5:V17" si="7">T5-U5</f>
        <v>66395.800000000017</v>
      </c>
      <c r="W5" s="95">
        <f t="shared" si="3"/>
        <v>1</v>
      </c>
      <c r="X5" s="89"/>
      <c r="Y5" s="1" t="str">
        <f t="shared" ref="Y5:Y17" si="8">IF(G5&gt;0,"Show","")</f>
        <v>Show</v>
      </c>
      <c r="Z5" s="1"/>
      <c r="AA5" s="1"/>
      <c r="AB5" s="98"/>
      <c r="AC5" s="1"/>
    </row>
    <row r="6" spans="1:29">
      <c r="A6" s="15" t="s">
        <v>197</v>
      </c>
      <c r="B6" s="94">
        <f>SUMIFS(MeritBonus!$AA$7:$AA$500,MeritBonus!$M$7:$M$500,A6,MeritBonus!$X$7:$X$500,"Yes")</f>
        <v>10993.52</v>
      </c>
      <c r="C6" s="94">
        <f>SUMIFS(MeritBonus!$AB$7:$AB$500,MeritBonus!$M$7:$M$500,A6,MeritBonus!$X$7:$X$500,"Yes")</f>
        <v>0</v>
      </c>
      <c r="D6" s="94">
        <f t="shared" si="4"/>
        <v>10993.52</v>
      </c>
      <c r="E6" s="95">
        <f t="shared" si="0"/>
        <v>1</v>
      </c>
      <c r="F6" s="89"/>
      <c r="G6" s="94">
        <f>SUMIFS(MeritBonus!$AF$7:$AF$500,MeritBonus!$M$7:$M$500,A6,MeritBonus!$AD$7:$AD$500,"Yes")</f>
        <v>32478.720000000001</v>
      </c>
      <c r="H6" s="94">
        <f>SUMIFS(MeritBonus!$AQ$7:$AQ$500,MeritBonus!$M$7:$M$500,A6,MeritBonus!$AD$7:$AD$500,"Yes")</f>
        <v>1019.2</v>
      </c>
      <c r="I6" s="94">
        <f>SUMIFS(MeritBonus!$AS$7:$AS$500,MeritBonus!$M$7:$M$500,A6,MeritBonus!$AD$7:$AD$500,"Yes")</f>
        <v>24637.801999999996</v>
      </c>
      <c r="J6" s="94">
        <f t="shared" si="5"/>
        <v>6821.7180000000044</v>
      </c>
      <c r="K6" s="95">
        <f t="shared" si="1"/>
        <v>0.21003654084890058</v>
      </c>
      <c r="L6" s="89"/>
      <c r="M6" s="94">
        <f>SUMIFS(MeritBonus!$BF$7:$BF$500,MeritBonus!$M$7:$M$500,A6,MeritBonus!$BA$7:$BA$500,"Yes")</f>
        <v>0</v>
      </c>
      <c r="N6" s="89"/>
      <c r="O6" s="94">
        <f>SUMIFS(MeritBonus!$BT$7:$BT$500,MeritBonus!$M$7:$M$500,A6,MeritBonus!$BO$7:$BO$500,"Yes")</f>
        <v>67550.100000000006</v>
      </c>
      <c r="P6" s="94">
        <f>SUMIFS(MeritBonus!$BW$7:$BW$500,MeritBonus!$M$7:$M$500,A6,MeritBonus!$BO$7:$BO$500,"Yes")</f>
        <v>67550.100000000006</v>
      </c>
      <c r="Q6" s="94">
        <f t="shared" si="6"/>
        <v>0</v>
      </c>
      <c r="R6" s="95">
        <f t="shared" si="2"/>
        <v>0</v>
      </c>
      <c r="S6" s="89"/>
      <c r="T6" s="94">
        <f>SUMIFS(MeritBonus!$CB$7:$CB$500,MeritBonus!$M$7:$M$500,A6,MeritBonus!$BZ$7:$BZ$500,"Yes")</f>
        <v>38659.5</v>
      </c>
      <c r="U6" s="94">
        <f>SUMIFS(MeritBonus!$CC$7:$CC$500,MeritBonus!$M$7:$M$500,A6,MeritBonus!$BZ$7:$BZ$500,"Yes")</f>
        <v>0</v>
      </c>
      <c r="V6" s="94">
        <f t="shared" si="7"/>
        <v>38659.5</v>
      </c>
      <c r="W6" s="95">
        <f t="shared" si="3"/>
        <v>1</v>
      </c>
      <c r="X6" s="89"/>
      <c r="Y6" s="1" t="str">
        <f t="shared" si="8"/>
        <v>Show</v>
      </c>
      <c r="Z6" s="1"/>
      <c r="AA6" s="1"/>
      <c r="AB6" s="98"/>
      <c r="AC6" s="1"/>
    </row>
    <row r="7" spans="1:29">
      <c r="A7" s="15" t="s">
        <v>254</v>
      </c>
      <c r="B7" s="94">
        <f>SUMIFS(MeritBonus!$AA$7:$AA$500,MeritBonus!$M$7:$M$500,A7,MeritBonus!$X$7:$X$500,"Yes")</f>
        <v>7409.2199999999993</v>
      </c>
      <c r="C7" s="94">
        <f>SUMIFS(MeritBonus!$AB$7:$AB$500,MeritBonus!$M$7:$M$500,A7,MeritBonus!$X$7:$X$500,"Yes")</f>
        <v>0</v>
      </c>
      <c r="D7" s="94">
        <f t="shared" si="4"/>
        <v>7409.2199999999993</v>
      </c>
      <c r="E7" s="95">
        <f t="shared" si="0"/>
        <v>1</v>
      </c>
      <c r="F7" s="89"/>
      <c r="G7" s="94">
        <f>SUMIFS(MeritBonus!$AF$7:$AF$500,MeritBonus!$M$7:$M$500,A7,MeritBonus!$AD$7:$AD$500,"Yes")</f>
        <v>21204.12</v>
      </c>
      <c r="H7" s="94">
        <f>SUMIFS(MeritBonus!$AQ$7:$AQ$500,MeritBonus!$M$7:$M$500,A7,MeritBonus!$AD$7:$AD$500,"Yes")</f>
        <v>1536.4</v>
      </c>
      <c r="I7" s="94">
        <f>SUMIFS(MeritBonus!$AS$7:$AS$500,MeritBonus!$M$7:$M$500,A7,MeritBonus!$AD$7:$AD$500,"Yes")</f>
        <v>16126.642500000004</v>
      </c>
      <c r="J7" s="94">
        <f t="shared" si="5"/>
        <v>3541.0774999999958</v>
      </c>
      <c r="K7" s="95">
        <f t="shared" si="1"/>
        <v>0.1669995029267895</v>
      </c>
      <c r="L7" s="89"/>
      <c r="M7" s="94">
        <f>SUMIFS(MeritBonus!$BF$7:$BF$500,MeritBonus!$M$7:$M$500,A7,MeritBonus!$BA$7:$BA$500,"Yes")</f>
        <v>0</v>
      </c>
      <c r="N7" s="89"/>
      <c r="O7" s="94">
        <f>SUMIFS(MeritBonus!$BT$7:$BT$500,MeritBonus!$M$7:$M$500,A7,MeritBonus!$BO$7:$BO$500,"Yes")</f>
        <v>26434.799999999999</v>
      </c>
      <c r="P7" s="94">
        <f>SUMIFS(MeritBonus!$BW$7:$BW$500,MeritBonus!$M$7:$M$500,A7,MeritBonus!$BO$7:$BO$500,"Yes")</f>
        <v>26434.799999999999</v>
      </c>
      <c r="Q7" s="94">
        <f t="shared" si="6"/>
        <v>0</v>
      </c>
      <c r="R7" s="95">
        <f t="shared" si="2"/>
        <v>0</v>
      </c>
      <c r="S7" s="89"/>
      <c r="T7" s="94">
        <f>SUMIFS(MeritBonus!$CB$7:$CB$500,MeritBonus!$M$7:$M$500,A7,MeritBonus!$BZ$7:$BZ$500,"Yes")</f>
        <v>13586.599999999999</v>
      </c>
      <c r="U7" s="94">
        <f>SUMIFS(MeritBonus!$CC$7:$CC$500,MeritBonus!$M$7:$M$500,A7,MeritBonus!$BZ$7:$BZ$500,"Yes")</f>
        <v>0</v>
      </c>
      <c r="V7" s="94">
        <f t="shared" si="7"/>
        <v>13586.599999999999</v>
      </c>
      <c r="W7" s="95">
        <f t="shared" si="3"/>
        <v>1</v>
      </c>
      <c r="X7" s="89"/>
      <c r="Y7" s="1" t="str">
        <f t="shared" si="8"/>
        <v>Show</v>
      </c>
      <c r="Z7" s="1"/>
      <c r="AA7" s="1"/>
      <c r="AB7" s="98"/>
      <c r="AC7" s="1"/>
    </row>
    <row r="8" spans="1:29">
      <c r="A8" s="15" t="s">
        <v>177</v>
      </c>
      <c r="B8" s="94">
        <f>SUMIFS(MeritBonus!$AA$7:$AA$500,MeritBonus!$M$7:$M$500,A8,MeritBonus!$X$7:$X$500,"Yes")</f>
        <v>5877.04</v>
      </c>
      <c r="C8" s="94">
        <f>SUMIFS(MeritBonus!$AB$7:$AB$500,MeritBonus!$M$7:$M$500,A8,MeritBonus!$X$7:$X$500,"Yes")</f>
        <v>0</v>
      </c>
      <c r="D8" s="94">
        <f t="shared" si="4"/>
        <v>5877.04</v>
      </c>
      <c r="E8" s="95">
        <f t="shared" si="0"/>
        <v>1</v>
      </c>
      <c r="F8" s="89"/>
      <c r="G8" s="94">
        <f>SUMIFS(MeritBonus!$AF$7:$AF$500,MeritBonus!$M$7:$M$500,A8,MeritBonus!$AD$7:$AD$500,"Yes")</f>
        <v>17537.46</v>
      </c>
      <c r="H8" s="94">
        <f>SUMIFS(MeritBonus!$AQ$7:$AQ$500,MeritBonus!$M$7:$M$500,A8,MeritBonus!$AD$7:$AD$500,"Yes")</f>
        <v>345</v>
      </c>
      <c r="I8" s="94">
        <f>SUMIFS(MeritBonus!$AS$7:$AS$500,MeritBonus!$M$7:$M$500,A8,MeritBonus!$AD$7:$AD$500,"Yes")</f>
        <v>13006.945</v>
      </c>
      <c r="J8" s="94">
        <f t="shared" si="5"/>
        <v>4185.5149999999994</v>
      </c>
      <c r="K8" s="95">
        <f t="shared" si="1"/>
        <v>0.23866141391056628</v>
      </c>
      <c r="L8" s="89"/>
      <c r="M8" s="94">
        <f>SUMIFS(MeritBonus!$BF$7:$BF$500,MeritBonus!$M$7:$M$500,A8,MeritBonus!$BA$7:$BA$500,"Yes")</f>
        <v>0</v>
      </c>
      <c r="N8" s="89"/>
      <c r="O8" s="94">
        <f>SUMIFS(MeritBonus!$BT$7:$BT$500,MeritBonus!$M$7:$M$500,A8,MeritBonus!$BO$7:$BO$500,"Yes")</f>
        <v>38544.5</v>
      </c>
      <c r="P8" s="94">
        <f>SUMIFS(MeritBonus!$BW$7:$BW$500,MeritBonus!$M$7:$M$500,A8,MeritBonus!$BO$7:$BO$500,"Yes")</f>
        <v>38544.5</v>
      </c>
      <c r="Q8" s="94">
        <f t="shared" si="6"/>
        <v>0</v>
      </c>
      <c r="R8" s="95">
        <f t="shared" si="2"/>
        <v>0</v>
      </c>
      <c r="S8" s="89"/>
      <c r="T8" s="94">
        <f>SUMIFS(MeritBonus!$CB$7:$CB$500,MeritBonus!$M$7:$M$500,A8,MeritBonus!$BZ$7:$BZ$500,"Yes")</f>
        <v>25623.649999999998</v>
      </c>
      <c r="U8" s="94">
        <f>SUMIFS(MeritBonus!$CC$7:$CC$500,MeritBonus!$M$7:$M$500,A8,MeritBonus!$BZ$7:$BZ$500,"Yes")</f>
        <v>0</v>
      </c>
      <c r="V8" s="94">
        <f t="shared" si="7"/>
        <v>25623.649999999998</v>
      </c>
      <c r="W8" s="95">
        <f t="shared" si="3"/>
        <v>1</v>
      </c>
      <c r="X8" s="89"/>
      <c r="Y8" s="1" t="str">
        <f t="shared" si="8"/>
        <v>Show</v>
      </c>
      <c r="Z8" s="1"/>
      <c r="AA8" s="1"/>
      <c r="AB8" s="98"/>
      <c r="AC8" s="1"/>
    </row>
    <row r="9" spans="1:29">
      <c r="A9" s="15" t="s">
        <v>198</v>
      </c>
      <c r="B9" s="94">
        <f>SUMIFS(MeritBonus!$AA$7:$AA$500,MeritBonus!$M$7:$M$500,A9,MeritBonus!$X$7:$X$500,"Yes")</f>
        <v>17876.72</v>
      </c>
      <c r="C9" s="94">
        <f>SUMIFS(MeritBonus!$AB$7:$AB$500,MeritBonus!$M$7:$M$500,A9,MeritBonus!$X$7:$X$500,"Yes")</f>
        <v>0</v>
      </c>
      <c r="D9" s="94">
        <f t="shared" si="4"/>
        <v>17876.72</v>
      </c>
      <c r="E9" s="95">
        <f t="shared" si="0"/>
        <v>1</v>
      </c>
      <c r="F9" s="89"/>
      <c r="G9" s="94">
        <f>SUMIFS(MeritBonus!$AF$7:$AF$500,MeritBonus!$M$7:$M$500,A9,MeritBonus!$AD$7:$AD$500,"Yes")</f>
        <v>39142.74500000001</v>
      </c>
      <c r="H9" s="94">
        <f>SUMIFS(MeritBonus!$AQ$7:$AQ$500,MeritBonus!$M$7:$M$500,A9,MeritBonus!$AD$7:$AD$500,"Yes")</f>
        <v>1086.44</v>
      </c>
      <c r="I9" s="94">
        <f>SUMIFS(MeritBonus!$AS$7:$AS$500,MeritBonus!$M$7:$M$500,A9,MeritBonus!$AD$7:$AD$500,"Yes")</f>
        <v>30374.363000000005</v>
      </c>
      <c r="J9" s="94">
        <f t="shared" si="5"/>
        <v>7681.9420000000064</v>
      </c>
      <c r="K9" s="95">
        <f t="shared" si="1"/>
        <v>0.19625455496286742</v>
      </c>
      <c r="L9" s="89"/>
      <c r="M9" s="94">
        <f>SUMIFS(MeritBonus!$BF$7:$BF$500,MeritBonus!$M$7:$M$500,A9,MeritBonus!$BA$7:$BA$500,"Yes")</f>
        <v>0</v>
      </c>
      <c r="N9" s="89"/>
      <c r="O9" s="94">
        <f>SUMIFS(MeritBonus!$BT$7:$BT$500,MeritBonus!$M$7:$M$500,A9,MeritBonus!$BO$7:$BO$500,"Yes")</f>
        <v>110823.09999999999</v>
      </c>
      <c r="P9" s="94">
        <f>SUMIFS(MeritBonus!$BW$7:$BW$500,MeritBonus!$M$7:$M$500,A9,MeritBonus!$BO$7:$BO$500,"Yes")</f>
        <v>110823.09999999999</v>
      </c>
      <c r="Q9" s="94">
        <f t="shared" si="6"/>
        <v>0</v>
      </c>
      <c r="R9" s="95">
        <f t="shared" si="2"/>
        <v>0</v>
      </c>
      <c r="S9" s="89"/>
      <c r="T9" s="94">
        <f>SUMIFS(MeritBonus!$CB$7:$CB$500,MeritBonus!$M$7:$M$500,A9,MeritBonus!$BZ$7:$BZ$500,"Yes")</f>
        <v>72455.849999999991</v>
      </c>
      <c r="U9" s="94">
        <f>SUMIFS(MeritBonus!$CC$7:$CC$500,MeritBonus!$M$7:$M$500,A9,MeritBonus!$BZ$7:$BZ$500,"Yes")</f>
        <v>0</v>
      </c>
      <c r="V9" s="94">
        <f t="shared" si="7"/>
        <v>72455.849999999991</v>
      </c>
      <c r="W9" s="95">
        <f t="shared" si="3"/>
        <v>1</v>
      </c>
      <c r="X9" s="89"/>
      <c r="Y9" s="1" t="str">
        <f t="shared" si="8"/>
        <v>Show</v>
      </c>
      <c r="Z9" s="1"/>
      <c r="AA9" s="1"/>
      <c r="AB9" s="98"/>
      <c r="AC9" s="1"/>
    </row>
    <row r="10" spans="1:29">
      <c r="A10" s="15" t="s">
        <v>203</v>
      </c>
      <c r="B10" s="94">
        <f>SUMIFS(MeritBonus!$AA$7:$AA$500,MeritBonus!$M$7:$M$500,A10,MeritBonus!$X$7:$X$500,"Yes")</f>
        <v>2763.08</v>
      </c>
      <c r="C10" s="94">
        <f>SUMIFS(MeritBonus!$AB$7:$AB$500,MeritBonus!$M$7:$M$500,A10,MeritBonus!$X$7:$X$500,"Yes")</f>
        <v>0</v>
      </c>
      <c r="D10" s="94">
        <f t="shared" si="4"/>
        <v>2763.08</v>
      </c>
      <c r="E10" s="95">
        <f t="shared" si="0"/>
        <v>1</v>
      </c>
      <c r="F10" s="89"/>
      <c r="G10" s="94">
        <f>SUMIFS(MeritBonus!$AF$7:$AF$500,MeritBonus!$M$7:$M$500,A10,MeritBonus!$AD$7:$AD$500,"Yes")</f>
        <v>7107.2999999999993</v>
      </c>
      <c r="H10" s="94">
        <f>SUMIFS(MeritBonus!$AQ$7:$AQ$500,MeritBonus!$M$7:$M$500,A10,MeritBonus!$AD$7:$AD$500,"Yes")</f>
        <v>0</v>
      </c>
      <c r="I10" s="94">
        <f>SUMIFS(MeritBonus!$AS$7:$AS$500,MeritBonus!$M$7:$M$500,A10,MeritBonus!$AD$7:$AD$500,"Yes")</f>
        <v>5661.8940000000002</v>
      </c>
      <c r="J10" s="94">
        <f t="shared" si="5"/>
        <v>1445.405999999999</v>
      </c>
      <c r="K10" s="95">
        <f t="shared" si="1"/>
        <v>0.20336921193702237</v>
      </c>
      <c r="L10" s="89"/>
      <c r="M10" s="94">
        <f>SUMIFS(MeritBonus!$BF$7:$BF$500,MeritBonus!$M$7:$M$500,A10,MeritBonus!$BA$7:$BA$500,"Yes")</f>
        <v>0</v>
      </c>
      <c r="N10" s="89"/>
      <c r="O10" s="94">
        <f>SUMIFS(MeritBonus!$BT$7:$BT$500,MeritBonus!$M$7:$M$500,A10,MeritBonus!$BO$7:$BO$500,"Yes")</f>
        <v>14940.6</v>
      </c>
      <c r="P10" s="94">
        <f>SUMIFS(MeritBonus!$BW$7:$BW$500,MeritBonus!$M$7:$M$500,A10,MeritBonus!$BO$7:$BO$500,"Yes")</f>
        <v>14940.6</v>
      </c>
      <c r="Q10" s="94">
        <f t="shared" si="6"/>
        <v>0</v>
      </c>
      <c r="R10" s="95">
        <f t="shared" si="2"/>
        <v>0</v>
      </c>
      <c r="S10" s="89"/>
      <c r="T10" s="94">
        <f>SUMIFS(MeritBonus!$CB$7:$CB$500,MeritBonus!$M$7:$M$500,A10,MeritBonus!$BZ$7:$BZ$500,"Yes")</f>
        <v>5515.1</v>
      </c>
      <c r="U10" s="94">
        <f>SUMIFS(MeritBonus!$CC$7:$CC$500,MeritBonus!$M$7:$M$500,A10,MeritBonus!$BZ$7:$BZ$500,"Yes")</f>
        <v>0</v>
      </c>
      <c r="V10" s="94">
        <f t="shared" si="7"/>
        <v>5515.1</v>
      </c>
      <c r="W10" s="95">
        <f t="shared" si="3"/>
        <v>1</v>
      </c>
      <c r="X10" s="89"/>
      <c r="Y10" s="1" t="str">
        <f t="shared" si="8"/>
        <v>Show</v>
      </c>
      <c r="Z10" s="1"/>
      <c r="AA10" s="1"/>
      <c r="AB10" s="98"/>
      <c r="AC10" s="1"/>
    </row>
    <row r="11" spans="1:29">
      <c r="A11" s="15" t="s">
        <v>255</v>
      </c>
      <c r="B11" s="94">
        <f>SUMIFS(MeritBonus!$AA$7:$AA$500,MeritBonus!$M$7:$M$500,A11,MeritBonus!$X$7:$X$500,"Yes")</f>
        <v>2538.02</v>
      </c>
      <c r="C11" s="94">
        <f>SUMIFS(MeritBonus!$AB$7:$AB$500,MeritBonus!$M$7:$M$500,A11,MeritBonus!$X$7:$X$500,"Yes")</f>
        <v>0</v>
      </c>
      <c r="D11" s="94">
        <f t="shared" si="4"/>
        <v>2538.02</v>
      </c>
      <c r="E11" s="95">
        <f t="shared" si="0"/>
        <v>1</v>
      </c>
      <c r="F11" s="89"/>
      <c r="G11" s="94">
        <f>SUMIFS(MeritBonus!$AF$7:$AF$500,MeritBonus!$M$7:$M$500,A11,MeritBonus!$AD$7:$AD$500,"Yes")</f>
        <v>13341.660000000002</v>
      </c>
      <c r="H11" s="94">
        <f>SUMIFS(MeritBonus!$AQ$7:$AQ$500,MeritBonus!$M$7:$M$500,A11,MeritBonus!$AD$7:$AD$500,"Yes")</f>
        <v>8057.14</v>
      </c>
      <c r="I11" s="94">
        <f>SUMIFS(MeritBonus!$AS$7:$AS$500,MeritBonus!$M$7:$M$500,A11,MeritBonus!$AD$7:$AD$500,"Yes")</f>
        <v>2575.36</v>
      </c>
      <c r="J11" s="94">
        <f t="shared" si="5"/>
        <v>2709.1600000000017</v>
      </c>
      <c r="K11" s="95">
        <f t="shared" si="1"/>
        <v>0.20306018891202454</v>
      </c>
      <c r="L11" s="89"/>
      <c r="M11" s="94">
        <f>SUMIFS(MeritBonus!$BF$7:$BF$500,MeritBonus!$M$7:$M$500,A11,MeritBonus!$BA$7:$BA$500,"Yes")</f>
        <v>0</v>
      </c>
      <c r="N11" s="89"/>
      <c r="O11" s="94">
        <f>SUMIFS(MeritBonus!$BT$7:$BT$500,MeritBonus!$M$7:$M$500,A11,MeritBonus!$BO$7:$BO$500,"Yes")</f>
        <v>39283.950000000004</v>
      </c>
      <c r="P11" s="94">
        <f>SUMIFS(MeritBonus!$BW$7:$BW$500,MeritBonus!$M$7:$M$500,A11,MeritBonus!$BO$7:$BO$500,"Yes")</f>
        <v>39283.950000000004</v>
      </c>
      <c r="Q11" s="94">
        <f t="shared" si="6"/>
        <v>0</v>
      </c>
      <c r="R11" s="95">
        <f t="shared" si="2"/>
        <v>0</v>
      </c>
      <c r="S11" s="89"/>
      <c r="T11" s="94">
        <f>SUMIFS(MeritBonus!$CB$7:$CB$500,MeritBonus!$M$7:$M$500,A11,MeritBonus!$BZ$7:$BZ$500,"Yes")</f>
        <v>34095.700000000004</v>
      </c>
      <c r="U11" s="94">
        <f>SUMIFS(MeritBonus!$CC$7:$CC$500,MeritBonus!$M$7:$M$500,A11,MeritBonus!$BZ$7:$BZ$500,"Yes")</f>
        <v>0</v>
      </c>
      <c r="V11" s="94">
        <f t="shared" si="7"/>
        <v>34095.700000000004</v>
      </c>
      <c r="W11" s="95">
        <f t="shared" si="3"/>
        <v>1</v>
      </c>
      <c r="X11" s="89"/>
      <c r="Y11" s="1" t="str">
        <f t="shared" si="8"/>
        <v>Show</v>
      </c>
      <c r="Z11" s="1"/>
      <c r="AA11" s="1"/>
      <c r="AB11" s="98"/>
      <c r="AC11" s="1"/>
    </row>
    <row r="12" spans="1:29">
      <c r="A12" s="15" t="s">
        <v>287</v>
      </c>
      <c r="B12" s="94">
        <f>SUMIFS(MeritBonus!$AA$7:$AA$500,MeritBonus!$M$7:$M$500,A12,MeritBonus!$X$7:$X$500,"Yes")</f>
        <v>1912.76</v>
      </c>
      <c r="C12" s="94">
        <f>SUMIFS(MeritBonus!$AB$7:$AB$500,MeritBonus!$M$7:$M$500,A12,MeritBonus!$X$7:$X$500,"Yes")</f>
        <v>0</v>
      </c>
      <c r="D12" s="94">
        <f t="shared" si="4"/>
        <v>1912.76</v>
      </c>
      <c r="E12" s="95">
        <f t="shared" si="0"/>
        <v>1</v>
      </c>
      <c r="F12" s="89"/>
      <c r="G12" s="94">
        <f>SUMIFS(MeritBonus!$AF$7:$AF$500,MeritBonus!$M$7:$M$500,A12,MeritBonus!$AD$7:$AD$500,"Yes")</f>
        <v>12754.02</v>
      </c>
      <c r="H12" s="94">
        <f>SUMIFS(MeritBonus!$AQ$7:$AQ$500,MeritBonus!$M$7:$M$500,A12,MeritBonus!$AD$7:$AD$500,"Yes")</f>
        <v>3318.1100000000006</v>
      </c>
      <c r="I12" s="94">
        <f>SUMIFS(MeritBonus!$AS$7:$AS$500,MeritBonus!$M$7:$M$500,A12,MeritBonus!$AD$7:$AD$500,"Yes")</f>
        <v>7348.8549999999996</v>
      </c>
      <c r="J12" s="94">
        <f t="shared" si="5"/>
        <v>2087.0550000000003</v>
      </c>
      <c r="K12" s="95">
        <f t="shared" si="1"/>
        <v>0.16363899382312402</v>
      </c>
      <c r="L12" s="89"/>
      <c r="M12" s="94">
        <f>SUMIFS(MeritBonus!$BF$7:$BF$500,MeritBonus!$M$7:$M$500,A12,MeritBonus!$BA$7:$BA$500,"Yes")</f>
        <v>0</v>
      </c>
      <c r="N12" s="89"/>
      <c r="O12" s="94">
        <f>SUMIFS(MeritBonus!$BT$7:$BT$500,MeritBonus!$M$7:$M$500,A12,MeritBonus!$BO$7:$BO$500,"Yes")</f>
        <v>9563.7999999999993</v>
      </c>
      <c r="P12" s="94">
        <f>SUMIFS(MeritBonus!$BW$7:$BW$500,MeritBonus!$M$7:$M$500,A12,MeritBonus!$BO$7:$BO$500,"Yes")</f>
        <v>9563.7999999999993</v>
      </c>
      <c r="Q12" s="94">
        <f t="shared" si="6"/>
        <v>0</v>
      </c>
      <c r="R12" s="95">
        <f t="shared" si="2"/>
        <v>0</v>
      </c>
      <c r="S12" s="89"/>
      <c r="T12" s="94">
        <f>SUMIFS(MeritBonus!$CB$7:$CB$500,MeritBonus!$M$7:$M$500,A12,MeritBonus!$BZ$7:$BZ$500,"Yes")</f>
        <v>9563.7999999999993</v>
      </c>
      <c r="U12" s="94">
        <f>SUMIFS(MeritBonus!$CC$7:$CC$500,MeritBonus!$M$7:$M$500,A12,MeritBonus!$BZ$7:$BZ$500,"Yes")</f>
        <v>0</v>
      </c>
      <c r="V12" s="94">
        <f t="shared" si="7"/>
        <v>9563.7999999999993</v>
      </c>
      <c r="W12" s="95">
        <f t="shared" si="3"/>
        <v>1</v>
      </c>
      <c r="X12" s="89"/>
      <c r="Y12" s="1" t="str">
        <f t="shared" si="8"/>
        <v>Show</v>
      </c>
      <c r="Z12" s="1"/>
      <c r="AA12" s="1"/>
      <c r="AB12" s="98"/>
      <c r="AC12" s="1"/>
    </row>
    <row r="13" spans="1:29">
      <c r="A13" s="15" t="s">
        <v>320</v>
      </c>
      <c r="B13" s="94">
        <f>SUMIFS(MeritBonus!$AA$7:$AA$500,MeritBonus!$M$7:$M$500,A13,MeritBonus!$X$7:$X$500,"Yes")</f>
        <v>8489.76</v>
      </c>
      <c r="C13" s="94">
        <f>SUMIFS(MeritBonus!$AB$7:$AB$500,MeritBonus!$M$7:$M$500,A13,MeritBonus!$X$7:$X$500,"Yes")</f>
        <v>0</v>
      </c>
      <c r="D13" s="94">
        <f t="shared" si="4"/>
        <v>8489.76</v>
      </c>
      <c r="E13" s="95">
        <f t="shared" si="0"/>
        <v>1</v>
      </c>
      <c r="F13" s="89"/>
      <c r="G13" s="94">
        <f>SUMIFS(MeritBonus!$AF$7:$AF$500,MeritBonus!$M$7:$M$500,A13,MeritBonus!$AD$7:$AD$500,"Yes")</f>
        <v>15115.799999999997</v>
      </c>
      <c r="H13" s="94">
        <f>SUMIFS(MeritBonus!$AQ$7:$AQ$500,MeritBonus!$M$7:$M$500,A13,MeritBonus!$AD$7:$AD$500,"Yes")</f>
        <v>1064.95</v>
      </c>
      <c r="I13" s="94">
        <f>SUMIFS(MeritBonus!$AS$7:$AS$500,MeritBonus!$M$7:$M$500,A13,MeritBonus!$AD$7:$AD$500,"Yes")</f>
        <v>11987.285</v>
      </c>
      <c r="J13" s="94">
        <f t="shared" si="5"/>
        <v>2063.5649999999969</v>
      </c>
      <c r="K13" s="95">
        <f t="shared" si="1"/>
        <v>0.13651708808002205</v>
      </c>
      <c r="L13" s="89"/>
      <c r="M13" s="94">
        <f>SUMIFS(MeritBonus!$BF$7:$BF$500,MeritBonus!$M$7:$M$500,A13,MeritBonus!$BA$7:$BA$500,"Yes")</f>
        <v>0</v>
      </c>
      <c r="N13" s="89"/>
      <c r="O13" s="94">
        <f>SUMIFS(MeritBonus!$BT$7:$BT$500,MeritBonus!$M$7:$M$500,A13,MeritBonus!$BO$7:$BO$500,"Yes")</f>
        <v>32778.800000000003</v>
      </c>
      <c r="P13" s="94">
        <f>SUMIFS(MeritBonus!$BW$7:$BW$500,MeritBonus!$M$7:$M$500,A13,MeritBonus!$BO$7:$BO$500,"Yes")</f>
        <v>32778.800000000003</v>
      </c>
      <c r="Q13" s="94">
        <f t="shared" si="6"/>
        <v>0</v>
      </c>
      <c r="R13" s="95">
        <f t="shared" si="2"/>
        <v>0</v>
      </c>
      <c r="S13" s="89"/>
      <c r="T13" s="94">
        <f>SUMIFS(MeritBonus!$CB$7:$CB$500,MeritBonus!$M$7:$M$500,A13,MeritBonus!$BZ$7:$BZ$500,"Yes")</f>
        <v>13656.300000000001</v>
      </c>
      <c r="U13" s="94">
        <f>SUMIFS(MeritBonus!$CC$7:$CC$500,MeritBonus!$M$7:$M$500,A13,MeritBonus!$BZ$7:$BZ$500,"Yes")</f>
        <v>0</v>
      </c>
      <c r="V13" s="94">
        <f t="shared" si="7"/>
        <v>13656.300000000001</v>
      </c>
      <c r="W13" s="95">
        <f t="shared" si="3"/>
        <v>1</v>
      </c>
      <c r="X13" s="89"/>
      <c r="Y13" s="1" t="str">
        <f t="shared" si="8"/>
        <v>Show</v>
      </c>
      <c r="Z13" s="1"/>
      <c r="AA13" s="1"/>
      <c r="AB13" s="98"/>
      <c r="AC13" s="1"/>
    </row>
    <row r="14" spans="1:29">
      <c r="A14" s="15" t="s">
        <v>334</v>
      </c>
      <c r="B14" s="94">
        <f>SUMIFS(MeritBonus!$AA$7:$AA$500,MeritBonus!$M$7:$M$500,A14,MeritBonus!$X$7:$X$500,"Yes")</f>
        <v>5385.52</v>
      </c>
      <c r="C14" s="94">
        <f>SUMIFS(MeritBonus!$AB$7:$AB$500,MeritBonus!$M$7:$M$500,A14,MeritBonus!$X$7:$X$500,"Yes")</f>
        <v>0</v>
      </c>
      <c r="D14" s="94">
        <f t="shared" si="4"/>
        <v>5385.52</v>
      </c>
      <c r="E14" s="95">
        <f t="shared" si="0"/>
        <v>1</v>
      </c>
      <c r="F14" s="89"/>
      <c r="G14" s="94">
        <f>SUMIFS(MeritBonus!$AF$7:$AF$500,MeritBonus!$M$7:$M$500,A14,MeritBonus!$AD$7:$AD$500,"Yes")</f>
        <v>23509.170000000002</v>
      </c>
      <c r="H14" s="94">
        <f>SUMIFS(MeritBonus!$AQ$7:$AQ$500,MeritBonus!$M$7:$M$500,A14,MeritBonus!$AD$7:$AD$500,"Yes")</f>
        <v>4845.154999999997</v>
      </c>
      <c r="I14" s="94">
        <f>SUMIFS(MeritBonus!$AS$7:$AS$500,MeritBonus!$M$7:$M$500,A14,MeritBonus!$AD$7:$AD$500,"Yes")</f>
        <v>14252.760000000002</v>
      </c>
      <c r="J14" s="94">
        <f t="shared" si="5"/>
        <v>4411.255000000001</v>
      </c>
      <c r="K14" s="95">
        <f t="shared" si="1"/>
        <v>0.18763975929392662</v>
      </c>
      <c r="L14" s="89"/>
      <c r="M14" s="94">
        <f>SUMIFS(MeritBonus!$BF$7:$BF$500,MeritBonus!$M$7:$M$500,A14,MeritBonus!$BA$7:$BA$500,"Yes")</f>
        <v>0</v>
      </c>
      <c r="N14" s="89"/>
      <c r="O14" s="94">
        <f>SUMIFS(MeritBonus!$BT$7:$BT$500,MeritBonus!$M$7:$M$500,A14,MeritBonus!$BO$7:$BO$500,"Yes")</f>
        <v>31598.200000000004</v>
      </c>
      <c r="P14" s="94">
        <f>SUMIFS(MeritBonus!$BW$7:$BW$500,MeritBonus!$M$7:$M$500,A14,MeritBonus!$BO$7:$BO$500,"Yes")</f>
        <v>31598.200000000004</v>
      </c>
      <c r="Q14" s="94">
        <f t="shared" si="6"/>
        <v>0</v>
      </c>
      <c r="R14" s="95">
        <f t="shared" si="2"/>
        <v>0</v>
      </c>
      <c r="S14" s="89"/>
      <c r="T14" s="94">
        <f>SUMIFS(MeritBonus!$CB$7:$CB$500,MeritBonus!$M$7:$M$500,A14,MeritBonus!$BZ$7:$BZ$500,"Yes")</f>
        <v>12837.7</v>
      </c>
      <c r="U14" s="94">
        <f>SUMIFS(MeritBonus!$CC$7:$CC$500,MeritBonus!$M$7:$M$500,A14,MeritBonus!$BZ$7:$BZ$500,"Yes")</f>
        <v>0</v>
      </c>
      <c r="V14" s="94">
        <f t="shared" si="7"/>
        <v>12837.7</v>
      </c>
      <c r="W14" s="95">
        <f t="shared" si="3"/>
        <v>1</v>
      </c>
      <c r="X14" s="89"/>
      <c r="Y14" s="1" t="str">
        <f t="shared" si="8"/>
        <v>Show</v>
      </c>
      <c r="Z14" s="1"/>
      <c r="AA14" s="1"/>
      <c r="AB14" s="98"/>
      <c r="AC14" s="1"/>
    </row>
    <row r="15" spans="1:29">
      <c r="A15" s="15" t="s">
        <v>163</v>
      </c>
      <c r="B15" s="94">
        <f>SUMIFS(MeritBonus!$AA$7:$AA$500,MeritBonus!$M$7:$M$500,A15,MeritBonus!$X$7:$X$500,"Yes")</f>
        <v>1517</v>
      </c>
      <c r="C15" s="94">
        <f>SUMIFS(MeritBonus!$AB$7:$AB$500,MeritBonus!$M$7:$M$500,A15,MeritBonus!$X$7:$X$500,"Yes")</f>
        <v>0</v>
      </c>
      <c r="D15" s="94">
        <f t="shared" si="4"/>
        <v>1517</v>
      </c>
      <c r="E15" s="95">
        <f t="shared" si="0"/>
        <v>1</v>
      </c>
      <c r="F15" s="89"/>
      <c r="G15" s="94">
        <f>SUMIFS(MeritBonus!$AF$7:$AF$500,MeritBonus!$M$7:$M$500,A15,MeritBonus!$AD$7:$AD$500,"Yes")</f>
        <v>2275.5</v>
      </c>
      <c r="H15" s="94">
        <f>SUMIFS(MeritBonus!$AQ$7:$AQ$500,MeritBonus!$M$7:$M$500,A15,MeritBonus!$AD$7:$AD$500,"Yes")</f>
        <v>0</v>
      </c>
      <c r="I15" s="94">
        <f>SUMIFS(MeritBonus!$AS$7:$AS$500,MeritBonus!$M$7:$M$500,A15,MeritBonus!$AD$7:$AD$500,"Yes")</f>
        <v>1000</v>
      </c>
      <c r="J15" s="94">
        <f t="shared" si="5"/>
        <v>1275.5</v>
      </c>
      <c r="K15" s="95">
        <f t="shared" si="1"/>
        <v>0.56053614590199952</v>
      </c>
      <c r="L15" s="89"/>
      <c r="M15" s="94">
        <f>SUMIFS(MeritBonus!$BF$7:$BF$500,MeritBonus!$M$7:$M$500,A15,MeritBonus!$BA$7:$BA$500,"Yes")</f>
        <v>0</v>
      </c>
      <c r="N15" s="89"/>
      <c r="O15" s="94">
        <f>SUMIFS(MeritBonus!$BT$7:$BT$500,MeritBonus!$M$7:$M$500,A15,MeritBonus!$BO$7:$BO$500,"Yes")</f>
        <v>18962.5</v>
      </c>
      <c r="P15" s="94">
        <f>SUMIFS(MeritBonus!$BW$7:$BW$500,MeritBonus!$M$7:$M$500,A15,MeritBonus!$BO$7:$BO$500,"Yes")</f>
        <v>18962.5</v>
      </c>
      <c r="Q15" s="94">
        <f t="shared" si="6"/>
        <v>0</v>
      </c>
      <c r="R15" s="95">
        <f t="shared" si="2"/>
        <v>0</v>
      </c>
      <c r="S15" s="89"/>
      <c r="T15" s="94">
        <f>SUMIFS(MeritBonus!$CB$7:$CB$500,MeritBonus!$M$7:$M$500,A15,MeritBonus!$BZ$7:$BZ$500,"Yes")</f>
        <v>18962.5</v>
      </c>
      <c r="U15" s="94">
        <f>SUMIFS(MeritBonus!$CC$7:$CC$500,MeritBonus!$M$7:$M$500,A15,MeritBonus!$BZ$7:$BZ$500,"Yes")</f>
        <v>0</v>
      </c>
      <c r="V15" s="94">
        <f t="shared" si="7"/>
        <v>18962.5</v>
      </c>
      <c r="W15" s="95">
        <f t="shared" si="3"/>
        <v>1</v>
      </c>
      <c r="X15" s="89"/>
      <c r="Y15" s="1" t="str">
        <f t="shared" si="8"/>
        <v>Show</v>
      </c>
      <c r="Z15" s="1"/>
      <c r="AA15" s="1"/>
      <c r="AB15" s="98"/>
      <c r="AC15" s="1"/>
    </row>
    <row r="16" spans="1:29">
      <c r="A16" s="15" t="s">
        <v>161</v>
      </c>
      <c r="B16" s="94">
        <f>SUMIFS(MeritBonus!$AA$7:$AA$500,MeritBonus!$M$7:$M$500,A16,MeritBonus!$X$7:$X$500,"Yes")</f>
        <v>2538.2399999999998</v>
      </c>
      <c r="C16" s="94">
        <f>SUMIFS(MeritBonus!$AB$7:$AB$500,MeritBonus!$M$7:$M$500,A16,MeritBonus!$X$7:$X$500,"Yes")</f>
        <v>0</v>
      </c>
      <c r="D16" s="94">
        <f t="shared" si="4"/>
        <v>2538.2399999999998</v>
      </c>
      <c r="E16" s="95">
        <f t="shared" si="0"/>
        <v>1</v>
      </c>
      <c r="F16" s="89"/>
      <c r="G16" s="94">
        <f>SUMIFS(MeritBonus!$AF$7:$AF$500,MeritBonus!$M$7:$M$500,A16,MeritBonus!$AD$7:$AD$500,"Yes")</f>
        <v>6147.3600000000006</v>
      </c>
      <c r="H16" s="94">
        <f>SUMIFS(MeritBonus!$AQ$7:$AQ$500,MeritBonus!$M$7:$M$500,A16,MeritBonus!$AD$7:$AD$500,"Yes")</f>
        <v>0</v>
      </c>
      <c r="I16" s="94">
        <f>SUMIFS(MeritBonus!$AS$7:$AS$500,MeritBonus!$M$7:$M$500,A16,MeritBonus!$AD$7:$AD$500,"Yes")</f>
        <v>6346.9750000000004</v>
      </c>
      <c r="J16" s="94">
        <f t="shared" si="5"/>
        <v>-199.61499999999978</v>
      </c>
      <c r="K16" s="95">
        <f t="shared" si="1"/>
        <v>-3.2471662632414529E-2</v>
      </c>
      <c r="L16" s="89"/>
      <c r="M16" s="94">
        <f>SUMIFS(MeritBonus!$BF$7:$BF$500,MeritBonus!$M$7:$M$500,A16,MeritBonus!$BA$7:$BA$500,"Yes")</f>
        <v>0</v>
      </c>
      <c r="N16" s="89"/>
      <c r="O16" s="94">
        <f>SUMIFS(MeritBonus!$BT$7:$BT$500,MeritBonus!$M$7:$M$500,A16,MeritBonus!$BO$7:$BO$500,"Yes")</f>
        <v>44210.75</v>
      </c>
      <c r="P16" s="94">
        <f>SUMIFS(MeritBonus!$BW$7:$BW$500,MeritBonus!$M$7:$M$500,A16,MeritBonus!$BO$7:$BO$500,"Yes")</f>
        <v>44210.75</v>
      </c>
      <c r="Q16" s="94">
        <f t="shared" si="6"/>
        <v>0</v>
      </c>
      <c r="R16" s="95">
        <f t="shared" si="2"/>
        <v>0</v>
      </c>
      <c r="S16" s="89"/>
      <c r="T16" s="94">
        <f>SUMIFS(MeritBonus!$CB$7:$CB$500,MeritBonus!$M$7:$M$500,A16,MeritBonus!$BZ$7:$BZ$500,"Yes")</f>
        <v>44210.75</v>
      </c>
      <c r="U16" s="94">
        <f>SUMIFS(MeritBonus!$CC$7:$CC$500,MeritBonus!$M$7:$M$500,A16,MeritBonus!$BZ$7:$BZ$500,"Yes")</f>
        <v>0</v>
      </c>
      <c r="V16" s="94">
        <f t="shared" si="7"/>
        <v>44210.75</v>
      </c>
      <c r="W16" s="95">
        <f t="shared" si="3"/>
        <v>1</v>
      </c>
      <c r="X16" s="89"/>
      <c r="Y16" s="1" t="str">
        <f t="shared" si="8"/>
        <v>Show</v>
      </c>
      <c r="Z16" s="1"/>
      <c r="AA16" s="1"/>
      <c r="AB16" s="98"/>
      <c r="AC16" s="1"/>
    </row>
    <row r="17" spans="1:29">
      <c r="A17" s="15" t="s">
        <v>162</v>
      </c>
      <c r="B17" s="94">
        <f>SUMIFS(MeritBonus!$AA$7:$AA$500,MeritBonus!$M$7:$M$500,A17,MeritBonus!$X$7:$X$500,"Yes")</f>
        <v>2573.9</v>
      </c>
      <c r="C17" s="94">
        <f>SUMIFS(MeritBonus!$AB$7:$AB$500,MeritBonus!$M$7:$M$500,A17,MeritBonus!$X$7:$X$500,"Yes")</f>
        <v>0</v>
      </c>
      <c r="D17" s="94">
        <f t="shared" si="4"/>
        <v>2573.9</v>
      </c>
      <c r="E17" s="95">
        <f t="shared" si="0"/>
        <v>1</v>
      </c>
      <c r="F17" s="89"/>
      <c r="G17" s="94">
        <f>SUMIFS(MeritBonus!$AF$7:$AF$500,MeritBonus!$M$7:$M$500,A17,MeritBonus!$AD$7:$AD$500,"Yes")</f>
        <v>3860.8499999999995</v>
      </c>
      <c r="H17" s="94">
        <f>SUMIFS(MeritBonus!$AQ$7:$AQ$500,MeritBonus!$M$7:$M$500,A17,MeritBonus!$AD$7:$AD$500,"Yes")</f>
        <v>0</v>
      </c>
      <c r="I17" s="94">
        <f>SUMIFS(MeritBonus!$AS$7:$AS$500,MeritBonus!$M$7:$M$500,A17,MeritBonus!$AD$7:$AD$500,"Yes")</f>
        <v>5449.8799999999992</v>
      </c>
      <c r="J17" s="94">
        <f t="shared" si="5"/>
        <v>-1589.0299999999997</v>
      </c>
      <c r="K17" s="95">
        <f t="shared" si="1"/>
        <v>-0.41157517127057514</v>
      </c>
      <c r="L17" s="89"/>
      <c r="M17" s="94">
        <f>SUMIFS(MeritBonus!$BF$7:$BF$500,MeritBonus!$M$7:$M$500,A17,MeritBonus!$BA$7:$BA$500,"Yes")</f>
        <v>0</v>
      </c>
      <c r="N17" s="89"/>
      <c r="O17" s="94">
        <f>SUMIFS(MeritBonus!$BT$7:$BT$500,MeritBonus!$M$7:$M$500,A17,MeritBonus!$BO$7:$BO$500,"Yes")</f>
        <v>21790.23</v>
      </c>
      <c r="P17" s="94">
        <f>SUMIFS(MeritBonus!$BW$7:$BW$500,MeritBonus!$M$7:$M$500,A17,MeritBonus!$BO$7:$BO$500,"Yes")</f>
        <v>21790.23</v>
      </c>
      <c r="Q17" s="94">
        <f t="shared" si="6"/>
        <v>0</v>
      </c>
      <c r="R17" s="95">
        <f t="shared" si="2"/>
        <v>0</v>
      </c>
      <c r="S17" s="89"/>
      <c r="T17" s="94">
        <f>SUMIFS(MeritBonus!$CB$7:$CB$500,MeritBonus!$M$7:$M$500,A17,MeritBonus!$BZ$7:$BZ$500,"Yes")</f>
        <v>32173.75</v>
      </c>
      <c r="U17" s="94">
        <f>SUMIFS(MeritBonus!$CC$7:$CC$500,MeritBonus!$M$7:$M$500,A17,MeritBonus!$BZ$7:$BZ$500,"Yes")</f>
        <v>0</v>
      </c>
      <c r="V17" s="94">
        <f t="shared" si="7"/>
        <v>32173.75</v>
      </c>
      <c r="W17" s="95">
        <f t="shared" si="3"/>
        <v>1</v>
      </c>
      <c r="X17" s="89"/>
      <c r="Y17" s="1" t="str">
        <f t="shared" si="8"/>
        <v>Show</v>
      </c>
      <c r="Z17" s="1"/>
      <c r="AA17" s="1"/>
      <c r="AB17" s="98"/>
      <c r="AC17" s="1"/>
    </row>
  </sheetData>
  <mergeCells count="5">
    <mergeCell ref="B1:W1"/>
    <mergeCell ref="B2:E2"/>
    <mergeCell ref="G2:K2"/>
    <mergeCell ref="O2:R2"/>
    <mergeCell ref="T2:W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8"/>
  <sheetViews>
    <sheetView workbookViewId="0"/>
  </sheetViews>
  <sheetFormatPr baseColWidth="10" defaultRowHeight="14"/>
  <cols>
    <col min="1" max="7" width="9.1640625" customWidth="1"/>
    <col min="8" max="8" width="17.33203125" customWidth="1"/>
    <col min="9" max="11" width="13.83203125" customWidth="1"/>
    <col min="12" max="12" width="12.1640625" customWidth="1"/>
    <col min="13" max="16" width="9.1640625" customWidth="1"/>
    <col min="17" max="17" width="15.1640625" customWidth="1"/>
    <col min="18" max="22" width="13.83203125" customWidth="1"/>
    <col min="23" max="23" width="9.1640625" customWidth="1"/>
    <col min="24" max="24" width="9" customWidth="1"/>
    <col min="25" max="26" width="13.83203125" customWidth="1"/>
    <col min="27" max="33" width="9" customWidth="1"/>
  </cols>
  <sheetData>
    <row r="1" spans="1:33" ht="18">
      <c r="A1" s="32" t="s">
        <v>680</v>
      </c>
      <c r="B1" s="32" t="s">
        <v>681</v>
      </c>
      <c r="C1" s="32" t="s">
        <v>52</v>
      </c>
      <c r="D1" s="32" t="s">
        <v>53</v>
      </c>
      <c r="E1" s="32" t="s">
        <v>50</v>
      </c>
      <c r="F1" s="32" t="s">
        <v>54</v>
      </c>
      <c r="G1" s="32" t="s">
        <v>73</v>
      </c>
      <c r="H1" s="5" t="s">
        <v>682</v>
      </c>
      <c r="I1" s="193" t="s">
        <v>158</v>
      </c>
      <c r="J1" s="194" t="s">
        <v>178</v>
      </c>
      <c r="K1" s="196" t="s">
        <v>172</v>
      </c>
      <c r="L1" s="197" t="s">
        <v>683</v>
      </c>
      <c r="M1" s="1"/>
      <c r="N1" s="32" t="s">
        <v>664</v>
      </c>
      <c r="O1" s="1"/>
      <c r="P1" s="1"/>
      <c r="Q1" s="3"/>
      <c r="R1" s="294" t="s">
        <v>684</v>
      </c>
      <c r="S1" s="294"/>
      <c r="T1" s="294"/>
      <c r="U1" s="294"/>
      <c r="V1" s="294"/>
      <c r="W1" s="1"/>
      <c r="X1" s="32" t="s">
        <v>664</v>
      </c>
      <c r="Y1" s="1" t="s">
        <v>685</v>
      </c>
      <c r="Z1" s="1" t="s">
        <v>685</v>
      </c>
      <c r="AA1" s="1"/>
      <c r="AB1" s="1"/>
      <c r="AC1" s="1"/>
      <c r="AD1" s="1"/>
      <c r="AE1" s="1"/>
      <c r="AF1" s="98"/>
      <c r="AG1" s="1"/>
    </row>
    <row r="2" spans="1:33">
      <c r="A2" s="5">
        <v>497</v>
      </c>
      <c r="B2" s="22" t="str">
        <f>INDEX(MeritBonus!$G$9:$G$500,MATCH('Performance Summary'!A2,MeritBonus!$F$9:$F$500,0))</f>
        <v>Jimmy Mcmulin</v>
      </c>
      <c r="C2" s="22">
        <f>INDEX(MeritBonus!$L$9:$L$500,MATCH('Performance Summary'!A2,MeritBonus!$F$9:$F$500,0))</f>
        <v>11308</v>
      </c>
      <c r="D2" s="22" t="str">
        <f>INDEX(MeritBonus!$M$9:$M$500,MATCH('Performance Summary'!A2,MeritBonus!$F$9:$F$500,0))</f>
        <v>Todd Falco</v>
      </c>
      <c r="E2" s="22" t="str">
        <f>INDEX(MeritBonus!$J$9:$J$500,MATCH('Performance Summary'!A2,MeritBonus!$F$9:$F$500,0))</f>
        <v>East</v>
      </c>
      <c r="F2" s="22" t="str">
        <f>INDEX(MeritBonus!$N$9:$N$500,MATCH('Performance Summary'!A2,MeritBonus!$F$9:$F$500,0))</f>
        <v>Active</v>
      </c>
      <c r="G2" s="22" t="str">
        <f>INDEX(MeritBonus!$AG$9:$AG$500,MATCH('Performance Summary'!A2,MeritBonus!$F$9:$F$500,0))</f>
        <v>Exceeds</v>
      </c>
      <c r="H2" s="32" t="str">
        <f>INDEX(MeritBonus!$CV$9:$CV$500,MATCH('Performance Summary'!A2,MeritBonus!$F$9:$F$500,0))</f>
        <v>67890;99485</v>
      </c>
      <c r="I2" s="32" t="str">
        <f>IF(G2=$I$1,B2," ")</f>
        <v>Jimmy Mcmulin</v>
      </c>
      <c r="J2" s="32" t="str">
        <f>IF(G2=$J$1,B2," ")</f>
        <v xml:space="preserve"> </v>
      </c>
      <c r="K2" s="32" t="str">
        <f>IF(G2=$K$1,B2," ")</f>
        <v xml:space="preserve"> </v>
      </c>
      <c r="L2" s="32" t="str">
        <f>IF(G2="",B2," ")</f>
        <v xml:space="preserve"> </v>
      </c>
      <c r="M2" s="1"/>
      <c r="N2" s="198" t="str">
        <f t="shared" ref="N2:N65" si="0">IF(OR(LEN(I2)&gt;0,LEN(J2)&gt;0,LEN(K2)&gt;0,LEN(L2)&gt;0),"Show","")</f>
        <v>Show</v>
      </c>
      <c r="O2" s="1"/>
      <c r="P2" s="1"/>
      <c r="Q2" s="177"/>
      <c r="R2" s="193" t="s">
        <v>158</v>
      </c>
      <c r="S2" s="194" t="s">
        <v>178</v>
      </c>
      <c r="T2" s="195" t="s">
        <v>172</v>
      </c>
      <c r="U2" s="197" t="s">
        <v>683</v>
      </c>
      <c r="V2" s="172" t="s">
        <v>686</v>
      </c>
      <c r="W2" s="1"/>
      <c r="X2" s="32" t="s">
        <v>664</v>
      </c>
      <c r="Y2" s="172" t="s">
        <v>687</v>
      </c>
      <c r="Z2" s="172" t="s">
        <v>688</v>
      </c>
      <c r="AA2" s="1"/>
      <c r="AB2" s="1"/>
      <c r="AC2" s="1"/>
      <c r="AD2" s="1"/>
      <c r="AE2" s="1"/>
      <c r="AF2" s="98"/>
      <c r="AG2" s="1"/>
    </row>
    <row r="3" spans="1:33">
      <c r="A3" s="5">
        <v>593</v>
      </c>
      <c r="B3" s="22" t="str">
        <f>INDEX(MeritBonus!$G$9:$G$500,MATCH('Performance Summary'!A3,MeritBonus!$F$9:$F$500,0))</f>
        <v>Jack Watts</v>
      </c>
      <c r="C3" s="22">
        <f>INDEX(MeritBonus!$L$9:$L$500,MATCH('Performance Summary'!A3,MeritBonus!$F$9:$F$500,0))</f>
        <v>11308</v>
      </c>
      <c r="D3" s="22" t="str">
        <f>INDEX(MeritBonus!$M$9:$M$500,MATCH('Performance Summary'!A3,MeritBonus!$F$9:$F$500,0))</f>
        <v>Todd Falco</v>
      </c>
      <c r="E3" s="22" t="str">
        <f>INDEX(MeritBonus!$J$9:$J$500,MATCH('Performance Summary'!A3,MeritBonus!$F$9:$F$500,0))</f>
        <v>East</v>
      </c>
      <c r="F3" s="22" t="str">
        <f>INDEX(MeritBonus!$N$9:$N$500,MATCH('Performance Summary'!A3,MeritBonus!$F$9:$F$500,0))</f>
        <v>Active</v>
      </c>
      <c r="G3" s="22" t="str">
        <f>INDEX(MeritBonus!$AG$9:$AG$500,MATCH('Performance Summary'!A3,MeritBonus!$F$9:$F$500,0))</f>
        <v>Below</v>
      </c>
      <c r="H3" s="32" t="str">
        <f>INDEX(MeritBonus!$CV$9:$CV$500,MATCH('Performance Summary'!A3,MeritBonus!$F$9:$F$500,0))</f>
        <v>67890;99485</v>
      </c>
      <c r="I3" s="32" t="str">
        <f t="shared" ref="I3:I66" si="1">IF(G3=$I$1,B3,"")</f>
        <v/>
      </c>
      <c r="J3" s="32" t="str">
        <f t="shared" ref="J3:J66" si="2">IF(G3=$J$1,B3,"")</f>
        <v/>
      </c>
      <c r="K3" s="32" t="str">
        <f t="shared" ref="K3:K66" si="3">IF(G3=$K$1,B3,"")</f>
        <v>Jack Watts</v>
      </c>
      <c r="L3" s="32" t="str">
        <f t="shared" ref="L3:L66" si="4">IF(G3="",B3,"")</f>
        <v/>
      </c>
      <c r="M3" s="1"/>
      <c r="N3" s="198" t="str">
        <f t="shared" si="0"/>
        <v>Show</v>
      </c>
      <c r="O3" s="1"/>
      <c r="P3" s="1"/>
      <c r="Q3" s="201" t="s">
        <v>53</v>
      </c>
      <c r="R3" s="202">
        <f>SUM(R4:R16)</f>
        <v>52</v>
      </c>
      <c r="S3" s="202">
        <f>SUM(S4:S16)</f>
        <v>140</v>
      </c>
      <c r="T3" s="202">
        <f>SUM(T4:T16)</f>
        <v>24</v>
      </c>
      <c r="U3" s="202">
        <f>SUM(U4:U16)</f>
        <v>0</v>
      </c>
      <c r="V3" s="202">
        <f>SUM(V4:V16)</f>
        <v>216</v>
      </c>
      <c r="W3" s="1"/>
      <c r="X3" s="32" t="s">
        <v>664</v>
      </c>
      <c r="Y3" s="243"/>
      <c r="Z3" s="243"/>
      <c r="AA3" s="1"/>
      <c r="AB3" s="1"/>
      <c r="AC3" s="1"/>
      <c r="AD3" s="1"/>
      <c r="AE3" s="1"/>
      <c r="AF3" s="98"/>
      <c r="AG3" s="1"/>
    </row>
    <row r="4" spans="1:33">
      <c r="A4" s="5">
        <v>664</v>
      </c>
      <c r="B4" s="22" t="str">
        <f>INDEX(MeritBonus!$G$9:$G$500,MATCH('Performance Summary'!A4,MeritBonus!$F$9:$F$500,0))</f>
        <v>Juan Hamann</v>
      </c>
      <c r="C4" s="22">
        <f>INDEX(MeritBonus!$L$9:$L$500,MATCH('Performance Summary'!A4,MeritBonus!$F$9:$F$500,0))</f>
        <v>11351</v>
      </c>
      <c r="D4" s="22" t="str">
        <f>INDEX(MeritBonus!$M$9:$M$500,MATCH('Performance Summary'!A4,MeritBonus!$F$9:$F$500,0))</f>
        <v>Allison Felton</v>
      </c>
      <c r="E4" s="22" t="str">
        <f>INDEX(MeritBonus!$J$9:$J$500,MATCH('Performance Summary'!A4,MeritBonus!$F$9:$F$500,0))</f>
        <v>East</v>
      </c>
      <c r="F4" s="22" t="str">
        <f>INDEX(MeritBonus!$N$9:$N$500,MATCH('Performance Summary'!A4,MeritBonus!$F$9:$F$500,0))</f>
        <v>Active</v>
      </c>
      <c r="G4" s="22" t="str">
        <f>INDEX(MeritBonus!$AG$9:$AG$500,MATCH('Performance Summary'!A4,MeritBonus!$F$9:$F$500,0))</f>
        <v>Meets</v>
      </c>
      <c r="H4" s="32" t="str">
        <f>INDEX(MeritBonus!$CV$9:$CV$500,MATCH('Performance Summary'!A4,MeritBonus!$F$9:$F$500,0))</f>
        <v>90876;99485</v>
      </c>
      <c r="I4" s="32" t="str">
        <f t="shared" si="1"/>
        <v/>
      </c>
      <c r="J4" s="32" t="str">
        <f t="shared" si="2"/>
        <v>Juan Hamann</v>
      </c>
      <c r="K4" s="32" t="str">
        <f t="shared" si="3"/>
        <v/>
      </c>
      <c r="L4" s="32" t="str">
        <f t="shared" si="4"/>
        <v/>
      </c>
      <c r="M4" s="1"/>
      <c r="N4" s="198" t="str">
        <f t="shared" si="0"/>
        <v>Show</v>
      </c>
      <c r="O4" s="1"/>
      <c r="P4" s="1"/>
      <c r="Q4" s="203" t="s">
        <v>154</v>
      </c>
      <c r="R4" s="204">
        <f>COUNTIFS(MeritBonus!$AG$7:$AG$500,$R$2,MeritBonus!$M$7:$M$500,Q4)</f>
        <v>5</v>
      </c>
      <c r="S4" s="204">
        <f>COUNTIFS(MeritBonus!$AG$7:$AG$500,$S$2,MeritBonus!$M$7:$M$500,Q4)</f>
        <v>16</v>
      </c>
      <c r="T4" s="204">
        <f>COUNTIFS(MeritBonus!$AG$7:$AG$500,$T$2,MeritBonus!$M$7:$M$500,Q4)</f>
        <v>3</v>
      </c>
      <c r="U4" s="204">
        <f t="shared" ref="U4:U16" si="5">Z4-Y4</f>
        <v>0</v>
      </c>
      <c r="V4" s="204">
        <f t="shared" ref="V4:V16" si="6">SUM(R4:U4)</f>
        <v>24</v>
      </c>
      <c r="W4" s="1"/>
      <c r="X4" s="198" t="str">
        <f t="shared" ref="X4:X16" si="7">IF(R4&gt;0,"Show","")</f>
        <v>Show</v>
      </c>
      <c r="Y4" s="244">
        <f t="shared" ref="Y4:Y16" si="8">SUM(R4:T4)</f>
        <v>24</v>
      </c>
      <c r="Z4" s="244">
        <f>COUNTIF(MeritBonus!$M$7:$M$500,Q4)</f>
        <v>24</v>
      </c>
      <c r="AA4" s="1"/>
      <c r="AB4" s="1"/>
      <c r="AC4" s="1"/>
      <c r="AD4" s="1"/>
      <c r="AE4" s="1"/>
      <c r="AF4" s="98"/>
      <c r="AG4" s="1"/>
    </row>
    <row r="5" spans="1:33">
      <c r="A5" s="5">
        <v>665</v>
      </c>
      <c r="B5" s="22" t="str">
        <f>INDEX(MeritBonus!$G$9:$G$500,MATCH('Performance Summary'!A5,MeritBonus!$F$9:$F$500,0))</f>
        <v>Craig Decarlo</v>
      </c>
      <c r="C5" s="22">
        <f>INDEX(MeritBonus!$L$9:$L$500,MATCH('Performance Summary'!A5,MeritBonus!$F$9:$F$500,0))</f>
        <v>11351</v>
      </c>
      <c r="D5" s="22" t="str">
        <f>INDEX(MeritBonus!$M$9:$M$500,MATCH('Performance Summary'!A5,MeritBonus!$F$9:$F$500,0))</f>
        <v>Allison Felton</v>
      </c>
      <c r="E5" s="22" t="str">
        <f>INDEX(MeritBonus!$J$9:$J$500,MATCH('Performance Summary'!A5,MeritBonus!$F$9:$F$500,0))</f>
        <v>East</v>
      </c>
      <c r="F5" s="22" t="str">
        <f>INDEX(MeritBonus!$N$9:$N$500,MATCH('Performance Summary'!A5,MeritBonus!$F$9:$F$500,0))</f>
        <v>Active</v>
      </c>
      <c r="G5" s="22" t="str">
        <f>INDEX(MeritBonus!$AG$9:$AG$500,MATCH('Performance Summary'!A5,MeritBonus!$F$9:$F$500,0))</f>
        <v>Exceeds</v>
      </c>
      <c r="H5" s="32" t="str">
        <f>INDEX(MeritBonus!$CV$9:$CV$500,MATCH('Performance Summary'!A5,MeritBonus!$F$9:$F$500,0))</f>
        <v>90876;99485</v>
      </c>
      <c r="I5" s="32" t="str">
        <f t="shared" si="1"/>
        <v>Craig Decarlo</v>
      </c>
      <c r="J5" s="32" t="str">
        <f t="shared" si="2"/>
        <v/>
      </c>
      <c r="K5" s="32" t="str">
        <f t="shared" si="3"/>
        <v/>
      </c>
      <c r="L5" s="32" t="str">
        <f t="shared" si="4"/>
        <v/>
      </c>
      <c r="M5" s="1"/>
      <c r="N5" s="198" t="str">
        <f t="shared" si="0"/>
        <v>Show</v>
      </c>
      <c r="O5" s="1"/>
      <c r="P5" s="1"/>
      <c r="Q5" s="203" t="s">
        <v>197</v>
      </c>
      <c r="R5" s="204">
        <f>COUNTIFS(MeritBonus!$AG$7:$AG$500,$R$2,MeritBonus!$M$7:$M$500,Q5)</f>
        <v>6</v>
      </c>
      <c r="S5" s="204">
        <f>COUNTIFS(MeritBonus!$AG$7:$AG$500,$S$2,MeritBonus!$M$7:$M$500,Q5)</f>
        <v>26</v>
      </c>
      <c r="T5" s="204">
        <f>COUNTIFS(MeritBonus!$AG$7:$AG$500,$T$2,MeritBonus!$M$7:$M$500,Q5)</f>
        <v>2</v>
      </c>
      <c r="U5" s="204">
        <f t="shared" si="5"/>
        <v>0</v>
      </c>
      <c r="V5" s="204">
        <f t="shared" si="6"/>
        <v>34</v>
      </c>
      <c r="W5" s="1"/>
      <c r="X5" s="198" t="str">
        <f t="shared" si="7"/>
        <v>Show</v>
      </c>
      <c r="Y5" s="244">
        <f t="shared" si="8"/>
        <v>34</v>
      </c>
      <c r="Z5" s="244">
        <f>COUNTIF(MeritBonus!$M$7:$M$500,Q5)</f>
        <v>34</v>
      </c>
      <c r="AA5" s="1"/>
      <c r="AB5" s="1"/>
      <c r="AC5" s="1"/>
      <c r="AD5" s="1"/>
      <c r="AE5" s="1"/>
      <c r="AF5" s="98"/>
      <c r="AG5" s="1"/>
    </row>
    <row r="6" spans="1:33">
      <c r="A6" s="5">
        <v>788</v>
      </c>
      <c r="B6" s="22" t="str">
        <f>INDEX(MeritBonus!$G$9:$G$500,MATCH('Performance Summary'!A6,MeritBonus!$F$9:$F$500,0))</f>
        <v>Martin Chrisman</v>
      </c>
      <c r="C6" s="22">
        <f>INDEX(MeritBonus!$L$9:$L$500,MATCH('Performance Summary'!A6,MeritBonus!$F$9:$F$500,0))</f>
        <v>11351</v>
      </c>
      <c r="D6" s="22" t="str">
        <f>INDEX(MeritBonus!$M$9:$M$500,MATCH('Performance Summary'!A6,MeritBonus!$F$9:$F$500,0))</f>
        <v>Allison Felton</v>
      </c>
      <c r="E6" s="22" t="str">
        <f>INDEX(MeritBonus!$J$9:$J$500,MATCH('Performance Summary'!A6,MeritBonus!$F$9:$F$500,0))</f>
        <v>East</v>
      </c>
      <c r="F6" s="22" t="str">
        <f>INDEX(MeritBonus!$N$9:$N$500,MATCH('Performance Summary'!A6,MeritBonus!$F$9:$F$500,0))</f>
        <v>Active</v>
      </c>
      <c r="G6" s="22" t="str">
        <f>INDEX(MeritBonus!$AG$9:$AG$500,MATCH('Performance Summary'!A6,MeritBonus!$F$9:$F$500,0))</f>
        <v>Exceeds</v>
      </c>
      <c r="H6" s="32" t="str">
        <f>INDEX(MeritBonus!$CV$9:$CV$500,MATCH('Performance Summary'!A6,MeritBonus!$F$9:$F$500,0))</f>
        <v>90876;99485</v>
      </c>
      <c r="I6" s="32" t="str">
        <f t="shared" si="1"/>
        <v>Martin Chrisman</v>
      </c>
      <c r="J6" s="32" t="str">
        <f t="shared" si="2"/>
        <v/>
      </c>
      <c r="K6" s="32" t="str">
        <f t="shared" si="3"/>
        <v/>
      </c>
      <c r="L6" s="32" t="str">
        <f t="shared" si="4"/>
        <v/>
      </c>
      <c r="M6" s="1"/>
      <c r="N6" s="198" t="str">
        <f t="shared" si="0"/>
        <v>Show</v>
      </c>
      <c r="O6" s="1"/>
      <c r="P6" s="1"/>
      <c r="Q6" s="203" t="s">
        <v>254</v>
      </c>
      <c r="R6" s="204">
        <f>COUNTIFS(MeritBonus!$AG$7:$AG$500,$R$2,MeritBonus!$M$7:$M$500,Q6)</f>
        <v>6</v>
      </c>
      <c r="S6" s="204">
        <f>COUNTIFS(MeritBonus!$AG$7:$AG$500,$S$2,MeritBonus!$M$7:$M$500,Q6)</f>
        <v>15</v>
      </c>
      <c r="T6" s="204">
        <f>COUNTIFS(MeritBonus!$AG$7:$AG$500,$T$2,MeritBonus!$M$7:$M$500,Q6)</f>
        <v>3</v>
      </c>
      <c r="U6" s="204">
        <f t="shared" si="5"/>
        <v>0</v>
      </c>
      <c r="V6" s="204">
        <f t="shared" si="6"/>
        <v>24</v>
      </c>
      <c r="W6" s="1"/>
      <c r="X6" s="198" t="str">
        <f t="shared" si="7"/>
        <v>Show</v>
      </c>
      <c r="Y6" s="244">
        <f t="shared" si="8"/>
        <v>24</v>
      </c>
      <c r="Z6" s="244">
        <f>COUNTIF(MeritBonus!$M$7:$M$500,Q6)</f>
        <v>24</v>
      </c>
      <c r="AA6" s="1"/>
      <c r="AB6" s="1"/>
      <c r="AC6" s="1"/>
      <c r="AD6" s="1"/>
      <c r="AE6" s="1"/>
      <c r="AF6" s="98"/>
      <c r="AG6" s="1"/>
    </row>
    <row r="7" spans="1:33">
      <c r="A7" s="5">
        <v>969</v>
      </c>
      <c r="B7" s="22" t="str">
        <f>INDEX(MeritBonus!$G$9:$G$500,MATCH('Performance Summary'!A7,MeritBonus!$F$9:$F$500,0))</f>
        <v>Ellen Albanese</v>
      </c>
      <c r="C7" s="22">
        <f>INDEX(MeritBonus!$L$9:$L$500,MATCH('Performance Summary'!A7,MeritBonus!$F$9:$F$500,0))</f>
        <v>11351</v>
      </c>
      <c r="D7" s="22" t="str">
        <f>INDEX(MeritBonus!$M$9:$M$500,MATCH('Performance Summary'!A7,MeritBonus!$F$9:$F$500,0))</f>
        <v>Allison Felton</v>
      </c>
      <c r="E7" s="22" t="str">
        <f>INDEX(MeritBonus!$J$9:$J$500,MATCH('Performance Summary'!A7,MeritBonus!$F$9:$F$500,0))</f>
        <v>East</v>
      </c>
      <c r="F7" s="22" t="str">
        <f>INDEX(MeritBonus!$N$9:$N$500,MATCH('Performance Summary'!A7,MeritBonus!$F$9:$F$500,0))</f>
        <v>Active</v>
      </c>
      <c r="G7" s="22" t="str">
        <f>INDEX(MeritBonus!$AG$9:$AG$500,MATCH('Performance Summary'!A7,MeritBonus!$F$9:$F$500,0))</f>
        <v>Exceeds</v>
      </c>
      <c r="H7" s="32" t="str">
        <f>INDEX(MeritBonus!$CV$9:$CV$500,MATCH('Performance Summary'!A7,MeritBonus!$F$9:$F$500,0))</f>
        <v>90876;99485</v>
      </c>
      <c r="I7" s="32" t="str">
        <f t="shared" si="1"/>
        <v>Ellen Albanese</v>
      </c>
      <c r="J7" s="32" t="str">
        <f t="shared" si="2"/>
        <v/>
      </c>
      <c r="K7" s="32" t="str">
        <f t="shared" si="3"/>
        <v/>
      </c>
      <c r="L7" s="32" t="str">
        <f t="shared" si="4"/>
        <v/>
      </c>
      <c r="M7" s="1"/>
      <c r="N7" s="198" t="str">
        <f t="shared" si="0"/>
        <v>Show</v>
      </c>
      <c r="O7" s="1"/>
      <c r="P7" s="1"/>
      <c r="Q7" s="203" t="s">
        <v>177</v>
      </c>
      <c r="R7" s="204">
        <f>COUNTIFS(MeritBonus!$AG$7:$AG$500,$R$2,MeritBonus!$M$7:$M$500,Q7)</f>
        <v>9</v>
      </c>
      <c r="S7" s="204">
        <f>COUNTIFS(MeritBonus!$AG$7:$AG$500,$S$2,MeritBonus!$M$7:$M$500,Q7)</f>
        <v>8</v>
      </c>
      <c r="T7" s="204">
        <f>COUNTIFS(MeritBonus!$AG$7:$AG$500,$T$2,MeritBonus!$M$7:$M$500,Q7)</f>
        <v>2</v>
      </c>
      <c r="U7" s="204">
        <f t="shared" si="5"/>
        <v>0</v>
      </c>
      <c r="V7" s="204">
        <f t="shared" si="6"/>
        <v>19</v>
      </c>
      <c r="W7" s="1"/>
      <c r="X7" s="198" t="str">
        <f t="shared" si="7"/>
        <v>Show</v>
      </c>
      <c r="Y7" s="244">
        <f t="shared" si="8"/>
        <v>19</v>
      </c>
      <c r="Z7" s="244">
        <f>COUNTIF(MeritBonus!$M$7:$M$500,Q7)</f>
        <v>19</v>
      </c>
      <c r="AA7" s="1"/>
      <c r="AB7" s="1"/>
      <c r="AC7" s="1"/>
      <c r="AD7" s="1"/>
      <c r="AE7" s="1"/>
      <c r="AF7" s="98"/>
      <c r="AG7" s="1"/>
    </row>
    <row r="8" spans="1:33">
      <c r="A8" s="5">
        <v>1041</v>
      </c>
      <c r="B8" s="22" t="str">
        <f>INDEX(MeritBonus!$G$9:$G$500,MATCH('Performance Summary'!A8,MeritBonus!$F$9:$F$500,0))</f>
        <v>Grace Henke</v>
      </c>
      <c r="C8" s="22">
        <f>INDEX(MeritBonus!$L$9:$L$500,MATCH('Performance Summary'!A8,MeritBonus!$F$9:$F$500,0))</f>
        <v>11308</v>
      </c>
      <c r="D8" s="22" t="str">
        <f>INDEX(MeritBonus!$M$9:$M$500,MATCH('Performance Summary'!A8,MeritBonus!$F$9:$F$500,0))</f>
        <v>Todd Falco</v>
      </c>
      <c r="E8" s="22" t="str">
        <f>INDEX(MeritBonus!$J$9:$J$500,MATCH('Performance Summary'!A8,MeritBonus!$F$9:$F$500,0))</f>
        <v>East</v>
      </c>
      <c r="F8" s="22" t="str">
        <f>INDEX(MeritBonus!$N$9:$N$500,MATCH('Performance Summary'!A8,MeritBonus!$F$9:$F$500,0))</f>
        <v>Active</v>
      </c>
      <c r="G8" s="22" t="str">
        <f>INDEX(MeritBonus!$AG$9:$AG$500,MATCH('Performance Summary'!A8,MeritBonus!$F$9:$F$500,0))</f>
        <v>Exceeds</v>
      </c>
      <c r="H8" s="32" t="str">
        <f>INDEX(MeritBonus!$CV$9:$CV$500,MATCH('Performance Summary'!A8,MeritBonus!$F$9:$F$500,0))</f>
        <v>67890;99485</v>
      </c>
      <c r="I8" s="32" t="str">
        <f t="shared" si="1"/>
        <v>Grace Henke</v>
      </c>
      <c r="J8" s="32" t="str">
        <f t="shared" si="2"/>
        <v/>
      </c>
      <c r="K8" s="32" t="str">
        <f t="shared" si="3"/>
        <v/>
      </c>
      <c r="L8" s="32" t="str">
        <f t="shared" si="4"/>
        <v/>
      </c>
      <c r="M8" s="1"/>
      <c r="N8" s="198" t="str">
        <f t="shared" si="0"/>
        <v>Show</v>
      </c>
      <c r="O8" s="1"/>
      <c r="P8" s="1"/>
      <c r="Q8" s="203" t="s">
        <v>198</v>
      </c>
      <c r="R8" s="204">
        <f>COUNTIFS(MeritBonus!$AG$7:$AG$500,$R$2,MeritBonus!$M$7:$M$500,Q8)</f>
        <v>8</v>
      </c>
      <c r="S8" s="204">
        <f>COUNTIFS(MeritBonus!$AG$7:$AG$500,$S$2,MeritBonus!$M$7:$M$500,Q8)</f>
        <v>29</v>
      </c>
      <c r="T8" s="204">
        <f>COUNTIFS(MeritBonus!$AG$7:$AG$500,$T$2,MeritBonus!$M$7:$M$500,Q8)</f>
        <v>2</v>
      </c>
      <c r="U8" s="204">
        <f t="shared" si="5"/>
        <v>0</v>
      </c>
      <c r="V8" s="204">
        <f t="shared" si="6"/>
        <v>39</v>
      </c>
      <c r="W8" s="1"/>
      <c r="X8" s="198" t="str">
        <f t="shared" si="7"/>
        <v>Show</v>
      </c>
      <c r="Y8" s="244">
        <f t="shared" si="8"/>
        <v>39</v>
      </c>
      <c r="Z8" s="244">
        <f>COUNTIF(MeritBonus!$M$7:$M$500,Q8)</f>
        <v>39</v>
      </c>
      <c r="AA8" s="1"/>
      <c r="AB8" s="1"/>
      <c r="AC8" s="1"/>
      <c r="AD8" s="1"/>
      <c r="AE8" s="1"/>
      <c r="AF8" s="98"/>
      <c r="AG8" s="1"/>
    </row>
    <row r="9" spans="1:33">
      <c r="A9" s="5">
        <v>1076</v>
      </c>
      <c r="B9" s="22" t="str">
        <f>INDEX(MeritBonus!$G$9:$G$500,MATCH('Performance Summary'!A9,MeritBonus!$F$9:$F$500,0))</f>
        <v>Ronald Holcomb</v>
      </c>
      <c r="C9" s="22">
        <f>INDEX(MeritBonus!$L$9:$L$500,MATCH('Performance Summary'!A9,MeritBonus!$F$9:$F$500,0))</f>
        <v>11308</v>
      </c>
      <c r="D9" s="22" t="str">
        <f>INDEX(MeritBonus!$M$9:$M$500,MATCH('Performance Summary'!A9,MeritBonus!$F$9:$F$500,0))</f>
        <v>Todd Falco</v>
      </c>
      <c r="E9" s="22" t="str">
        <f>INDEX(MeritBonus!$J$9:$J$500,MATCH('Performance Summary'!A9,MeritBonus!$F$9:$F$500,0))</f>
        <v>East</v>
      </c>
      <c r="F9" s="22" t="str">
        <f>INDEX(MeritBonus!$N$9:$N$500,MATCH('Performance Summary'!A9,MeritBonus!$F$9:$F$500,0))</f>
        <v>Active</v>
      </c>
      <c r="G9" s="22" t="str">
        <f>INDEX(MeritBonus!$AG$9:$AG$500,MATCH('Performance Summary'!A9,MeritBonus!$F$9:$F$500,0))</f>
        <v>Meets</v>
      </c>
      <c r="H9" s="32" t="str">
        <f>INDEX(MeritBonus!$CV$9:$CV$500,MATCH('Performance Summary'!A9,MeritBonus!$F$9:$F$500,0))</f>
        <v>67890;99485</v>
      </c>
      <c r="I9" s="32" t="str">
        <f t="shared" si="1"/>
        <v/>
      </c>
      <c r="J9" s="32" t="str">
        <f t="shared" si="2"/>
        <v>Ronald Holcomb</v>
      </c>
      <c r="K9" s="32" t="str">
        <f t="shared" si="3"/>
        <v/>
      </c>
      <c r="L9" s="32" t="str">
        <f t="shared" si="4"/>
        <v/>
      </c>
      <c r="M9" s="1"/>
      <c r="N9" s="198" t="str">
        <f t="shared" si="0"/>
        <v>Show</v>
      </c>
      <c r="O9" s="1"/>
      <c r="P9" s="1"/>
      <c r="Q9" s="203" t="s">
        <v>203</v>
      </c>
      <c r="R9" s="204">
        <f>COUNTIFS(MeritBonus!$AG$7:$AG$500,$R$2,MeritBonus!$M$7:$M$500,Q9)</f>
        <v>3</v>
      </c>
      <c r="S9" s="204">
        <f>COUNTIFS(MeritBonus!$AG$7:$AG$500,$S$2,MeritBonus!$M$7:$M$500,Q9)</f>
        <v>3</v>
      </c>
      <c r="T9" s="204">
        <f>COUNTIFS(MeritBonus!$AG$7:$AG$500,$T$2,MeritBonus!$M$7:$M$500,Q9)</f>
        <v>2</v>
      </c>
      <c r="U9" s="204">
        <f t="shared" si="5"/>
        <v>0</v>
      </c>
      <c r="V9" s="204">
        <f t="shared" si="6"/>
        <v>8</v>
      </c>
      <c r="W9" s="1"/>
      <c r="X9" s="198" t="str">
        <f t="shared" si="7"/>
        <v>Show</v>
      </c>
      <c r="Y9" s="244">
        <f t="shared" si="8"/>
        <v>8</v>
      </c>
      <c r="Z9" s="244">
        <f>COUNTIF(MeritBonus!$M$7:$M$500,Q9)</f>
        <v>8</v>
      </c>
      <c r="AA9" s="1"/>
      <c r="AB9" s="1"/>
      <c r="AC9" s="1"/>
      <c r="AD9" s="1"/>
      <c r="AE9" s="1"/>
      <c r="AF9" s="98"/>
      <c r="AG9" s="1"/>
    </row>
    <row r="10" spans="1:33">
      <c r="A10" s="5">
        <v>1179</v>
      </c>
      <c r="B10" s="22" t="str">
        <f>INDEX(MeritBonus!$G$9:$G$500,MATCH('Performance Summary'!A10,MeritBonus!$F$9:$F$500,0))</f>
        <v>Myrtle Jester</v>
      </c>
      <c r="C10" s="22">
        <f>INDEX(MeritBonus!$L$9:$L$500,MATCH('Performance Summary'!A10,MeritBonus!$F$9:$F$500,0))</f>
        <v>11351</v>
      </c>
      <c r="D10" s="22" t="str">
        <f>INDEX(MeritBonus!$M$9:$M$500,MATCH('Performance Summary'!A10,MeritBonus!$F$9:$F$500,0))</f>
        <v>Allison Felton</v>
      </c>
      <c r="E10" s="22" t="str">
        <f>INDEX(MeritBonus!$J$9:$J$500,MATCH('Performance Summary'!A10,MeritBonus!$F$9:$F$500,0))</f>
        <v>East</v>
      </c>
      <c r="F10" s="22" t="str">
        <f>INDEX(MeritBonus!$N$9:$N$500,MATCH('Performance Summary'!A10,MeritBonus!$F$9:$F$500,0))</f>
        <v>Active</v>
      </c>
      <c r="G10" s="22" t="str">
        <f>INDEX(MeritBonus!$AG$9:$AG$500,MATCH('Performance Summary'!A10,MeritBonus!$F$9:$F$500,0))</f>
        <v>Exceeds</v>
      </c>
      <c r="H10" s="32" t="str">
        <f>INDEX(MeritBonus!$CV$9:$CV$500,MATCH('Performance Summary'!A10,MeritBonus!$F$9:$F$500,0))</f>
        <v>90876;99485</v>
      </c>
      <c r="I10" s="32" t="str">
        <f t="shared" si="1"/>
        <v>Myrtle Jester</v>
      </c>
      <c r="J10" s="32" t="str">
        <f t="shared" si="2"/>
        <v/>
      </c>
      <c r="K10" s="32" t="str">
        <f t="shared" si="3"/>
        <v/>
      </c>
      <c r="L10" s="32" t="str">
        <f t="shared" si="4"/>
        <v/>
      </c>
      <c r="M10" s="1"/>
      <c r="N10" s="198" t="str">
        <f t="shared" si="0"/>
        <v>Show</v>
      </c>
      <c r="O10" s="1"/>
      <c r="P10" s="1"/>
      <c r="Q10" s="203" t="s">
        <v>255</v>
      </c>
      <c r="R10" s="204">
        <f>COUNTIFS(MeritBonus!$AG$7:$AG$500,$R$2,MeritBonus!$M$7:$M$500,Q10)</f>
        <v>2</v>
      </c>
      <c r="S10" s="204">
        <f>COUNTIFS(MeritBonus!$AG$7:$AG$500,$S$2,MeritBonus!$M$7:$M$500,Q10)</f>
        <v>4</v>
      </c>
      <c r="T10" s="204">
        <f>COUNTIFS(MeritBonus!$AG$7:$AG$500,$T$2,MeritBonus!$M$7:$M$500,Q10)</f>
        <v>4</v>
      </c>
      <c r="U10" s="204">
        <f t="shared" si="5"/>
        <v>0</v>
      </c>
      <c r="V10" s="204">
        <f t="shared" si="6"/>
        <v>10</v>
      </c>
      <c r="W10" s="1"/>
      <c r="X10" s="198" t="str">
        <f t="shared" si="7"/>
        <v>Show</v>
      </c>
      <c r="Y10" s="244">
        <f t="shared" si="8"/>
        <v>10</v>
      </c>
      <c r="Z10" s="244">
        <f>COUNTIF(MeritBonus!$M$7:$M$500,Q10)</f>
        <v>10</v>
      </c>
      <c r="AA10" s="1"/>
      <c r="AB10" s="1"/>
      <c r="AC10" s="1"/>
      <c r="AD10" s="1"/>
      <c r="AE10" s="1"/>
      <c r="AF10" s="98"/>
      <c r="AG10" s="1"/>
    </row>
    <row r="11" spans="1:33">
      <c r="A11" s="5">
        <v>1465</v>
      </c>
      <c r="B11" s="22" t="str">
        <f>INDEX(MeritBonus!$G$9:$G$500,MATCH('Performance Summary'!A11,MeritBonus!$F$9:$F$500,0))</f>
        <v>Jacob Caruthers</v>
      </c>
      <c r="C11" s="22">
        <f>INDEX(MeritBonus!$L$9:$L$500,MATCH('Performance Summary'!A11,MeritBonus!$F$9:$F$500,0))</f>
        <v>11498</v>
      </c>
      <c r="D11" s="22" t="str">
        <f>INDEX(MeritBonus!$M$9:$M$500,MATCH('Performance Summary'!A11,MeritBonus!$F$9:$F$500,0))</f>
        <v>John Jaworski</v>
      </c>
      <c r="E11" s="22" t="str">
        <f>INDEX(MeritBonus!$J$9:$J$500,MATCH('Performance Summary'!A11,MeritBonus!$F$9:$F$500,0))</f>
        <v>East</v>
      </c>
      <c r="F11" s="22" t="str">
        <f>INDEX(MeritBonus!$N$9:$N$500,MATCH('Performance Summary'!A11,MeritBonus!$F$9:$F$500,0))</f>
        <v>Active</v>
      </c>
      <c r="G11" s="22" t="str">
        <f>INDEX(MeritBonus!$AG$9:$AG$500,MATCH('Performance Summary'!A11,MeritBonus!$F$9:$F$500,0))</f>
        <v>Exceeds</v>
      </c>
      <c r="H11" s="32" t="str">
        <f>INDEX(MeritBonus!$CV$9:$CV$500,MATCH('Performance Summary'!A11,MeritBonus!$F$9:$F$500,0))</f>
        <v>99485;36523</v>
      </c>
      <c r="I11" s="32" t="str">
        <f t="shared" si="1"/>
        <v>Jacob Caruthers</v>
      </c>
      <c r="J11" s="32" t="str">
        <f t="shared" si="2"/>
        <v/>
      </c>
      <c r="K11" s="32" t="str">
        <f t="shared" si="3"/>
        <v/>
      </c>
      <c r="L11" s="32" t="str">
        <f t="shared" si="4"/>
        <v/>
      </c>
      <c r="M11" s="1"/>
      <c r="N11" s="198" t="str">
        <f t="shared" si="0"/>
        <v>Show</v>
      </c>
      <c r="O11" s="1"/>
      <c r="P11" s="1"/>
      <c r="Q11" s="203" t="s">
        <v>287</v>
      </c>
      <c r="R11" s="204">
        <f>COUNTIFS(MeritBonus!$AG$7:$AG$500,$R$2,MeritBonus!$M$7:$M$500,Q11)</f>
        <v>2</v>
      </c>
      <c r="S11" s="204">
        <f>COUNTIFS(MeritBonus!$AG$7:$AG$500,$S$2,MeritBonus!$M$7:$M$500,Q11)</f>
        <v>11</v>
      </c>
      <c r="T11" s="204">
        <f>COUNTIFS(MeritBonus!$AG$7:$AG$500,$T$2,MeritBonus!$M$7:$M$500,Q11)</f>
        <v>0</v>
      </c>
      <c r="U11" s="204">
        <f t="shared" si="5"/>
        <v>0</v>
      </c>
      <c r="V11" s="204">
        <f t="shared" si="6"/>
        <v>13</v>
      </c>
      <c r="W11" s="1"/>
      <c r="X11" s="198" t="str">
        <f t="shared" si="7"/>
        <v>Show</v>
      </c>
      <c r="Y11" s="244">
        <f t="shared" si="8"/>
        <v>13</v>
      </c>
      <c r="Z11" s="244">
        <f>COUNTIF(MeritBonus!$M$7:$M$500,Q11)</f>
        <v>13</v>
      </c>
      <c r="AA11" s="1"/>
      <c r="AB11" s="1"/>
      <c r="AC11" s="1"/>
      <c r="AD11" s="1"/>
      <c r="AE11" s="1"/>
      <c r="AF11" s="98"/>
      <c r="AG11" s="1"/>
    </row>
    <row r="12" spans="1:33">
      <c r="A12" s="5">
        <v>1505</v>
      </c>
      <c r="B12" s="22" t="str">
        <f>INDEX(MeritBonus!$G$9:$G$500,MATCH('Performance Summary'!A12,MeritBonus!$F$9:$F$500,0))</f>
        <v>Norma Magnuson</v>
      </c>
      <c r="C12" s="22">
        <f>INDEX(MeritBonus!$L$9:$L$500,MATCH('Performance Summary'!A12,MeritBonus!$F$9:$F$500,0))</f>
        <v>11351</v>
      </c>
      <c r="D12" s="22" t="str">
        <f>INDEX(MeritBonus!$M$9:$M$500,MATCH('Performance Summary'!A12,MeritBonus!$F$9:$F$500,0))</f>
        <v>Allison Felton</v>
      </c>
      <c r="E12" s="22" t="str">
        <f>INDEX(MeritBonus!$J$9:$J$500,MATCH('Performance Summary'!A12,MeritBonus!$F$9:$F$500,0))</f>
        <v>East</v>
      </c>
      <c r="F12" s="22" t="str">
        <f>INDEX(MeritBonus!$N$9:$N$500,MATCH('Performance Summary'!A12,MeritBonus!$F$9:$F$500,0))</f>
        <v>Active</v>
      </c>
      <c r="G12" s="22" t="str">
        <f>INDEX(MeritBonus!$AG$9:$AG$500,MATCH('Performance Summary'!A12,MeritBonus!$F$9:$F$500,0))</f>
        <v>Exceeds</v>
      </c>
      <c r="H12" s="32" t="str">
        <f>INDEX(MeritBonus!$CV$9:$CV$500,MATCH('Performance Summary'!A12,MeritBonus!$F$9:$F$500,0))</f>
        <v>90876;99485</v>
      </c>
      <c r="I12" s="32" t="str">
        <f t="shared" si="1"/>
        <v>Norma Magnuson</v>
      </c>
      <c r="J12" s="32" t="str">
        <f t="shared" si="2"/>
        <v/>
      </c>
      <c r="K12" s="32" t="str">
        <f t="shared" si="3"/>
        <v/>
      </c>
      <c r="L12" s="32" t="str">
        <f t="shared" si="4"/>
        <v/>
      </c>
      <c r="M12" s="1"/>
      <c r="N12" s="198" t="str">
        <f t="shared" si="0"/>
        <v>Show</v>
      </c>
      <c r="O12" s="1"/>
      <c r="P12" s="1"/>
      <c r="Q12" s="203" t="s">
        <v>320</v>
      </c>
      <c r="R12" s="204">
        <f>COUNTIFS(MeritBonus!$AG$7:$AG$500,$R$2,MeritBonus!$M$7:$M$500,Q12)</f>
        <v>1</v>
      </c>
      <c r="S12" s="204">
        <f>COUNTIFS(MeritBonus!$AG$7:$AG$500,$S$2,MeritBonus!$M$7:$M$500,Q12)</f>
        <v>12</v>
      </c>
      <c r="T12" s="204">
        <f>COUNTIFS(MeritBonus!$AG$7:$AG$500,$T$2,MeritBonus!$M$7:$M$500,Q12)</f>
        <v>3</v>
      </c>
      <c r="U12" s="204">
        <f t="shared" si="5"/>
        <v>0</v>
      </c>
      <c r="V12" s="204">
        <f t="shared" si="6"/>
        <v>16</v>
      </c>
      <c r="W12" s="1"/>
      <c r="X12" s="198" t="str">
        <f t="shared" si="7"/>
        <v>Show</v>
      </c>
      <c r="Y12" s="244">
        <f t="shared" si="8"/>
        <v>16</v>
      </c>
      <c r="Z12" s="244">
        <f>COUNTIF(MeritBonus!$M$7:$M$500,Q12)</f>
        <v>16</v>
      </c>
      <c r="AA12" s="1"/>
      <c r="AB12" s="1"/>
      <c r="AC12" s="1"/>
      <c r="AD12" s="1"/>
      <c r="AE12" s="1"/>
      <c r="AF12" s="98"/>
      <c r="AG12" s="1"/>
    </row>
    <row r="13" spans="1:33">
      <c r="A13" s="5">
        <v>1534</v>
      </c>
      <c r="B13" s="22" t="str">
        <f>INDEX(MeritBonus!$G$9:$G$500,MATCH('Performance Summary'!A13,MeritBonus!$F$9:$F$500,0))</f>
        <v>Paula Geller</v>
      </c>
      <c r="C13" s="22">
        <f>INDEX(MeritBonus!$L$9:$L$500,MATCH('Performance Summary'!A13,MeritBonus!$F$9:$F$500,0))</f>
        <v>11277</v>
      </c>
      <c r="D13" s="22" t="str">
        <f>INDEX(MeritBonus!$M$9:$M$500,MATCH('Performance Summary'!A13,MeritBonus!$F$9:$F$500,0))</f>
        <v>Mamie Townley</v>
      </c>
      <c r="E13" s="22" t="str">
        <f>INDEX(MeritBonus!$J$9:$J$500,MATCH('Performance Summary'!A13,MeritBonus!$F$9:$F$500,0))</f>
        <v>East</v>
      </c>
      <c r="F13" s="22" t="str">
        <f>INDEX(MeritBonus!$N$9:$N$500,MATCH('Performance Summary'!A13,MeritBonus!$F$9:$F$500,0))</f>
        <v>Active</v>
      </c>
      <c r="G13" s="22" t="str">
        <f>INDEX(MeritBonus!$AG$9:$AG$500,MATCH('Performance Summary'!A13,MeritBonus!$F$9:$F$500,0))</f>
        <v>Exceeds</v>
      </c>
      <c r="H13" s="32" t="str">
        <f>INDEX(MeritBonus!$CV$9:$CV$500,MATCH('Performance Summary'!A13,MeritBonus!$F$9:$F$500,0))</f>
        <v>90876;99485</v>
      </c>
      <c r="I13" s="32" t="str">
        <f t="shared" si="1"/>
        <v>Paula Geller</v>
      </c>
      <c r="J13" s="32" t="str">
        <f t="shared" si="2"/>
        <v/>
      </c>
      <c r="K13" s="32" t="str">
        <f t="shared" si="3"/>
        <v/>
      </c>
      <c r="L13" s="32" t="str">
        <f t="shared" si="4"/>
        <v/>
      </c>
      <c r="M13" s="1"/>
      <c r="N13" s="198" t="str">
        <f t="shared" si="0"/>
        <v>Show</v>
      </c>
      <c r="O13" s="1"/>
      <c r="P13" s="1"/>
      <c r="Q13" s="203" t="s">
        <v>334</v>
      </c>
      <c r="R13" s="204">
        <f>COUNTIFS(MeritBonus!$AG$7:$AG$500,$R$2,MeritBonus!$M$7:$M$500,Q13)</f>
        <v>6</v>
      </c>
      <c r="S13" s="204">
        <f>COUNTIFS(MeritBonus!$AG$7:$AG$500,$S$2,MeritBonus!$M$7:$M$500,Q13)</f>
        <v>14</v>
      </c>
      <c r="T13" s="204">
        <f>COUNTIFS(MeritBonus!$AG$7:$AG$500,$T$2,MeritBonus!$M$7:$M$500,Q13)</f>
        <v>3</v>
      </c>
      <c r="U13" s="204">
        <f t="shared" si="5"/>
        <v>0</v>
      </c>
      <c r="V13" s="204">
        <f t="shared" si="6"/>
        <v>23</v>
      </c>
      <c r="W13" s="1"/>
      <c r="X13" s="198" t="str">
        <f t="shared" si="7"/>
        <v>Show</v>
      </c>
      <c r="Y13" s="244">
        <f t="shared" si="8"/>
        <v>23</v>
      </c>
      <c r="Z13" s="244">
        <f>COUNTIF(MeritBonus!$M$7:$M$500,Q13)</f>
        <v>23</v>
      </c>
      <c r="AA13" s="1"/>
      <c r="AB13" s="1"/>
      <c r="AC13" s="1"/>
      <c r="AD13" s="1"/>
      <c r="AE13" s="1"/>
      <c r="AF13" s="98"/>
      <c r="AG13" s="1"/>
    </row>
    <row r="14" spans="1:33">
      <c r="A14" s="5">
        <v>1547</v>
      </c>
      <c r="B14" s="22" t="str">
        <f>INDEX(MeritBonus!$G$9:$G$500,MATCH('Performance Summary'!A14,MeritBonus!$F$9:$F$500,0))</f>
        <v>Albert Gillen</v>
      </c>
      <c r="C14" s="22">
        <f>INDEX(MeritBonus!$L$9:$L$500,MATCH('Performance Summary'!A14,MeritBonus!$F$9:$F$500,0))</f>
        <v>11277</v>
      </c>
      <c r="D14" s="22" t="str">
        <f>INDEX(MeritBonus!$M$9:$M$500,MATCH('Performance Summary'!A14,MeritBonus!$F$9:$F$500,0))</f>
        <v>Mamie Townley</v>
      </c>
      <c r="E14" s="22" t="str">
        <f>INDEX(MeritBonus!$J$9:$J$500,MATCH('Performance Summary'!A14,MeritBonus!$F$9:$F$500,0))</f>
        <v>East</v>
      </c>
      <c r="F14" s="22" t="str">
        <f>INDEX(MeritBonus!$N$9:$N$500,MATCH('Performance Summary'!A14,MeritBonus!$F$9:$F$500,0))</f>
        <v>Active</v>
      </c>
      <c r="G14" s="22" t="str">
        <f>INDEX(MeritBonus!$AG$9:$AG$500,MATCH('Performance Summary'!A14,MeritBonus!$F$9:$F$500,0))</f>
        <v>Below</v>
      </c>
      <c r="H14" s="32" t="str">
        <f>INDEX(MeritBonus!$CV$9:$CV$500,MATCH('Performance Summary'!A14,MeritBonus!$F$9:$F$500,0))</f>
        <v>90876;99485</v>
      </c>
      <c r="I14" s="32" t="str">
        <f t="shared" si="1"/>
        <v/>
      </c>
      <c r="J14" s="32" t="str">
        <f t="shared" si="2"/>
        <v/>
      </c>
      <c r="K14" s="32" t="str">
        <f t="shared" si="3"/>
        <v>Albert Gillen</v>
      </c>
      <c r="L14" s="32" t="str">
        <f t="shared" si="4"/>
        <v/>
      </c>
      <c r="M14" s="1"/>
      <c r="N14" s="198" t="str">
        <f t="shared" si="0"/>
        <v>Show</v>
      </c>
      <c r="O14" s="1"/>
      <c r="P14" s="1"/>
      <c r="Q14" s="203" t="s">
        <v>163</v>
      </c>
      <c r="R14" s="204">
        <f>COUNTIFS(MeritBonus!$AG$7:$AG$500,$R$2,MeritBonus!$M$7:$M$500,Q14)</f>
        <v>0</v>
      </c>
      <c r="S14" s="204">
        <f>COUNTIFS(MeritBonus!$AG$7:$AG$500,$S$2,MeritBonus!$M$7:$M$500,Q14)</f>
        <v>1</v>
      </c>
      <c r="T14" s="204">
        <f>COUNTIFS(MeritBonus!$AG$7:$AG$500,$T$2,MeritBonus!$M$7:$M$500,Q14)</f>
        <v>0</v>
      </c>
      <c r="U14" s="204">
        <f t="shared" si="5"/>
        <v>0</v>
      </c>
      <c r="V14" s="204">
        <f t="shared" si="6"/>
        <v>1</v>
      </c>
      <c r="W14" s="1"/>
      <c r="X14" s="198" t="str">
        <f t="shared" si="7"/>
        <v/>
      </c>
      <c r="Y14" s="244">
        <f t="shared" si="8"/>
        <v>1</v>
      </c>
      <c r="Z14" s="244">
        <f>COUNTIF(MeritBonus!$M$7:$M$500,Q14)</f>
        <v>1</v>
      </c>
      <c r="AA14" s="1"/>
      <c r="AB14" s="1"/>
      <c r="AC14" s="1"/>
      <c r="AD14" s="1"/>
      <c r="AE14" s="1"/>
      <c r="AF14" s="98"/>
      <c r="AG14" s="1"/>
    </row>
    <row r="15" spans="1:33">
      <c r="A15" s="5">
        <v>1571</v>
      </c>
      <c r="B15" s="22" t="str">
        <f>INDEX(MeritBonus!$G$9:$G$500,MATCH('Performance Summary'!A15,MeritBonus!$F$9:$F$500,0))</f>
        <v>Danny Twyman</v>
      </c>
      <c r="C15" s="22">
        <f>INDEX(MeritBonus!$L$9:$L$500,MATCH('Performance Summary'!A15,MeritBonus!$F$9:$F$500,0))</f>
        <v>11277</v>
      </c>
      <c r="D15" s="22" t="str">
        <f>INDEX(MeritBonus!$M$9:$M$500,MATCH('Performance Summary'!A15,MeritBonus!$F$9:$F$500,0))</f>
        <v>Mamie Townley</v>
      </c>
      <c r="E15" s="22" t="str">
        <f>INDEX(MeritBonus!$J$9:$J$500,MATCH('Performance Summary'!A15,MeritBonus!$F$9:$F$500,0))</f>
        <v>East</v>
      </c>
      <c r="F15" s="22" t="str">
        <f>INDEX(MeritBonus!$N$9:$N$500,MATCH('Performance Summary'!A15,MeritBonus!$F$9:$F$500,0))</f>
        <v>Active</v>
      </c>
      <c r="G15" s="22" t="str">
        <f>INDEX(MeritBonus!$AG$9:$AG$500,MATCH('Performance Summary'!A15,MeritBonus!$F$9:$F$500,0))</f>
        <v>Meets</v>
      </c>
      <c r="H15" s="32" t="str">
        <f>INDEX(MeritBonus!$CV$9:$CV$500,MATCH('Performance Summary'!A15,MeritBonus!$F$9:$F$500,0))</f>
        <v>90876;99485</v>
      </c>
      <c r="I15" s="32" t="str">
        <f t="shared" si="1"/>
        <v/>
      </c>
      <c r="J15" s="32" t="str">
        <f t="shared" si="2"/>
        <v>Danny Twyman</v>
      </c>
      <c r="K15" s="32" t="str">
        <f t="shared" si="3"/>
        <v/>
      </c>
      <c r="L15" s="32" t="str">
        <f t="shared" si="4"/>
        <v/>
      </c>
      <c r="M15" s="1"/>
      <c r="N15" s="198" t="str">
        <f t="shared" si="0"/>
        <v>Show</v>
      </c>
      <c r="O15" s="1"/>
      <c r="P15" s="1"/>
      <c r="Q15" s="203" t="s">
        <v>161</v>
      </c>
      <c r="R15" s="204">
        <f>COUNTIFS(MeritBonus!$AG$7:$AG$500,$R$2,MeritBonus!$M$7:$M$500,Q15)</f>
        <v>2</v>
      </c>
      <c r="S15" s="204">
        <f>COUNTIFS(MeritBonus!$AG$7:$AG$500,$S$2,MeritBonus!$M$7:$M$500,Q15)</f>
        <v>1</v>
      </c>
      <c r="T15" s="204">
        <f>COUNTIFS(MeritBonus!$AG$7:$AG$500,$T$2,MeritBonus!$M$7:$M$500,Q15)</f>
        <v>0</v>
      </c>
      <c r="U15" s="204">
        <f t="shared" si="5"/>
        <v>0</v>
      </c>
      <c r="V15" s="204">
        <f t="shared" si="6"/>
        <v>3</v>
      </c>
      <c r="W15" s="1"/>
      <c r="X15" s="198" t="str">
        <f t="shared" si="7"/>
        <v>Show</v>
      </c>
      <c r="Y15" s="244">
        <f t="shared" si="8"/>
        <v>3</v>
      </c>
      <c r="Z15" s="244">
        <f>COUNTIF(MeritBonus!$M$7:$M$500,Q15)</f>
        <v>3</v>
      </c>
      <c r="AA15" s="1"/>
      <c r="AB15" s="1"/>
      <c r="AC15" s="1"/>
      <c r="AD15" s="1"/>
      <c r="AE15" s="1"/>
      <c r="AF15" s="98"/>
      <c r="AG15" s="1"/>
    </row>
    <row r="16" spans="1:33">
      <c r="A16" s="5">
        <v>1663</v>
      </c>
      <c r="B16" s="22" t="str">
        <f>INDEX(MeritBonus!$G$9:$G$500,MATCH('Performance Summary'!A16,MeritBonus!$F$9:$F$500,0))</f>
        <v>Ernest Stauffer</v>
      </c>
      <c r="C16" s="22">
        <f>INDEX(MeritBonus!$L$9:$L$500,MATCH('Performance Summary'!A16,MeritBonus!$F$9:$F$500,0))</f>
        <v>11277</v>
      </c>
      <c r="D16" s="22" t="str">
        <f>INDEX(MeritBonus!$M$9:$M$500,MATCH('Performance Summary'!A16,MeritBonus!$F$9:$F$500,0))</f>
        <v>Mamie Townley</v>
      </c>
      <c r="E16" s="22" t="str">
        <f>INDEX(MeritBonus!$J$9:$J$500,MATCH('Performance Summary'!A16,MeritBonus!$F$9:$F$500,0))</f>
        <v>South</v>
      </c>
      <c r="F16" s="22" t="str">
        <f>INDEX(MeritBonus!$N$9:$N$500,MATCH('Performance Summary'!A16,MeritBonus!$F$9:$F$500,0))</f>
        <v>Active</v>
      </c>
      <c r="G16" s="22" t="str">
        <f>INDEX(MeritBonus!$AG$9:$AG$500,MATCH('Performance Summary'!A16,MeritBonus!$F$9:$F$500,0))</f>
        <v>Meets</v>
      </c>
      <c r="H16" s="32" t="str">
        <f>INDEX(MeritBonus!$CV$9:$CV$500,MATCH('Performance Summary'!A16,MeritBonus!$F$9:$F$500,0))</f>
        <v>90876;99485</v>
      </c>
      <c r="I16" s="32" t="str">
        <f t="shared" si="1"/>
        <v/>
      </c>
      <c r="J16" s="32" t="str">
        <f t="shared" si="2"/>
        <v>Ernest Stauffer</v>
      </c>
      <c r="K16" s="32" t="str">
        <f t="shared" si="3"/>
        <v/>
      </c>
      <c r="L16" s="32" t="str">
        <f t="shared" si="4"/>
        <v/>
      </c>
      <c r="M16" s="1"/>
      <c r="N16" s="198" t="str">
        <f t="shared" si="0"/>
        <v>Show</v>
      </c>
      <c r="O16" s="1"/>
      <c r="P16" s="1"/>
      <c r="Q16" s="203" t="s">
        <v>162</v>
      </c>
      <c r="R16" s="204">
        <f>COUNTIFS(MeritBonus!$AG$7:$AG$500,$R$2,MeritBonus!$M$7:$M$500,Q16)</f>
        <v>2</v>
      </c>
      <c r="S16" s="204">
        <f>COUNTIFS(MeritBonus!$AG$7:$AG$500,$S$2,MeritBonus!$M$7:$M$500,Q16)</f>
        <v>0</v>
      </c>
      <c r="T16" s="204">
        <f>COUNTIFS(MeritBonus!$AG$7:$AG$500,$T$2,MeritBonus!$M$7:$M$500,Q16)</f>
        <v>0</v>
      </c>
      <c r="U16" s="204">
        <f t="shared" si="5"/>
        <v>0</v>
      </c>
      <c r="V16" s="204">
        <f t="shared" si="6"/>
        <v>2</v>
      </c>
      <c r="W16" s="1"/>
      <c r="X16" s="198" t="str">
        <f t="shared" si="7"/>
        <v>Show</v>
      </c>
      <c r="Y16" s="244">
        <f t="shared" si="8"/>
        <v>2</v>
      </c>
      <c r="Z16" s="244">
        <f>COUNTIF(MeritBonus!$M$7:$M$500,Q16)</f>
        <v>2</v>
      </c>
      <c r="AA16" s="1"/>
      <c r="AB16" s="1"/>
      <c r="AC16" s="1"/>
      <c r="AD16" s="1"/>
      <c r="AE16" s="1"/>
      <c r="AF16" s="98"/>
      <c r="AG16" s="1"/>
    </row>
    <row r="17" spans="1:33">
      <c r="A17" s="5">
        <v>1671</v>
      </c>
      <c r="B17" s="22" t="str">
        <f>INDEX(MeritBonus!$G$9:$G$500,MATCH('Performance Summary'!A17,MeritBonus!$F$9:$F$500,0))</f>
        <v>Johnny Shay</v>
      </c>
      <c r="C17" s="22">
        <f>INDEX(MeritBonus!$L$9:$L$500,MATCH('Performance Summary'!A17,MeritBonus!$F$9:$F$500,0))</f>
        <v>11308</v>
      </c>
      <c r="D17" s="22" t="str">
        <f>INDEX(MeritBonus!$M$9:$M$500,MATCH('Performance Summary'!A17,MeritBonus!$F$9:$F$500,0))</f>
        <v>Todd Falco</v>
      </c>
      <c r="E17" s="22" t="str">
        <f>INDEX(MeritBonus!$J$9:$J$500,MATCH('Performance Summary'!A17,MeritBonus!$F$9:$F$500,0))</f>
        <v>South</v>
      </c>
      <c r="F17" s="22" t="str">
        <f>INDEX(MeritBonus!$N$9:$N$500,MATCH('Performance Summary'!A17,MeritBonus!$F$9:$F$500,0))</f>
        <v>Active</v>
      </c>
      <c r="G17" s="22" t="str">
        <f>INDEX(MeritBonus!$AG$9:$AG$500,MATCH('Performance Summary'!A17,MeritBonus!$F$9:$F$500,0))</f>
        <v>Meets</v>
      </c>
      <c r="H17" s="32" t="str">
        <f>INDEX(MeritBonus!$CV$9:$CV$500,MATCH('Performance Summary'!A17,MeritBonus!$F$9:$F$500,0))</f>
        <v>67890;99485</v>
      </c>
      <c r="I17" s="32" t="str">
        <f t="shared" si="1"/>
        <v/>
      </c>
      <c r="J17" s="32" t="str">
        <f t="shared" si="2"/>
        <v>Johnny Shay</v>
      </c>
      <c r="K17" s="32" t="str">
        <f t="shared" si="3"/>
        <v/>
      </c>
      <c r="L17" s="32" t="str">
        <f t="shared" si="4"/>
        <v/>
      </c>
      <c r="M17" s="1"/>
      <c r="N17" s="198" t="str">
        <f t="shared" si="0"/>
        <v>Show</v>
      </c>
      <c r="O17" s="1"/>
      <c r="P17" s="1"/>
      <c r="Q17" s="1"/>
      <c r="R17" s="1"/>
      <c r="S17" s="1"/>
      <c r="T17" s="1"/>
      <c r="U17" s="1"/>
      <c r="V17" s="1"/>
      <c r="W17" s="1"/>
      <c r="X17" s="32"/>
      <c r="Y17" s="1"/>
      <c r="Z17" s="1"/>
      <c r="AA17" s="1"/>
      <c r="AB17" s="1"/>
      <c r="AC17" s="1"/>
      <c r="AD17" s="1"/>
      <c r="AE17" s="1"/>
      <c r="AF17" s="98"/>
      <c r="AG17" s="1"/>
    </row>
    <row r="18" spans="1:33">
      <c r="A18" s="5">
        <v>1833</v>
      </c>
      <c r="B18" s="22" t="str">
        <f>INDEX(MeritBonus!$G$9:$G$500,MATCH('Performance Summary'!A18,MeritBonus!$F$9:$F$500,0))</f>
        <v>Stella Sherlock</v>
      </c>
      <c r="C18" s="22">
        <f>INDEX(MeritBonus!$L$9:$L$500,MATCH('Performance Summary'!A18,MeritBonus!$F$9:$F$500,0))</f>
        <v>20714</v>
      </c>
      <c r="D18" s="22" t="str">
        <f>INDEX(MeritBonus!$M$9:$M$500,MATCH('Performance Summary'!A18,MeritBonus!$F$9:$F$500,0))</f>
        <v>Robert Boatwright</v>
      </c>
      <c r="E18" s="22" t="str">
        <f>INDEX(MeritBonus!$J$9:$J$500,MATCH('Performance Summary'!A18,MeritBonus!$F$9:$F$500,0))</f>
        <v>South</v>
      </c>
      <c r="F18" s="22" t="str">
        <f>INDEX(MeritBonus!$N$9:$N$500,MATCH('Performance Summary'!A18,MeritBonus!$F$9:$F$500,0))</f>
        <v>Active</v>
      </c>
      <c r="G18" s="22" t="str">
        <f>INDEX(MeritBonus!$AG$9:$AG$500,MATCH('Performance Summary'!A18,MeritBonus!$F$9:$F$500,0))</f>
        <v>Exceeds</v>
      </c>
      <c r="H18" s="32" t="str">
        <f>INDEX(MeritBonus!$CV$9:$CV$500,MATCH('Performance Summary'!A18,MeritBonus!$F$9:$F$500,0))</f>
        <v>67890;99485</v>
      </c>
      <c r="I18" s="32" t="str">
        <f t="shared" si="1"/>
        <v>Stella Sherlock</v>
      </c>
      <c r="J18" s="32" t="str">
        <f t="shared" si="2"/>
        <v/>
      </c>
      <c r="K18" s="32" t="str">
        <f t="shared" si="3"/>
        <v/>
      </c>
      <c r="L18" s="32" t="str">
        <f t="shared" si="4"/>
        <v/>
      </c>
      <c r="M18" s="1"/>
      <c r="N18" s="198" t="str">
        <f t="shared" si="0"/>
        <v>Show</v>
      </c>
      <c r="O18" s="1"/>
      <c r="P18" s="1"/>
      <c r="Q18" s="1"/>
      <c r="R18" s="1"/>
      <c r="S18" s="1"/>
      <c r="T18" s="1"/>
      <c r="U18" s="1"/>
      <c r="V18" s="98"/>
      <c r="W18" s="1"/>
      <c r="X18" s="1"/>
      <c r="Y18" s="1"/>
      <c r="Z18" s="1"/>
      <c r="AA18" s="1"/>
      <c r="AB18" s="1"/>
      <c r="AC18" s="1"/>
      <c r="AD18" s="1"/>
      <c r="AE18" s="1"/>
      <c r="AF18" s="98"/>
      <c r="AG18" s="1"/>
    </row>
    <row r="19" spans="1:33">
      <c r="A19" s="5">
        <v>1867</v>
      </c>
      <c r="B19" s="22" t="str">
        <f>INDEX(MeritBonus!$G$9:$G$500,MATCH('Performance Summary'!A19,MeritBonus!$F$9:$F$500,0))</f>
        <v>Jason Pina</v>
      </c>
      <c r="C19" s="22">
        <f>INDEX(MeritBonus!$L$9:$L$500,MATCH('Performance Summary'!A19,MeritBonus!$F$9:$F$500,0))</f>
        <v>20714</v>
      </c>
      <c r="D19" s="22" t="str">
        <f>INDEX(MeritBonus!$M$9:$M$500,MATCH('Performance Summary'!A19,MeritBonus!$F$9:$F$500,0))</f>
        <v>Robert Boatwright</v>
      </c>
      <c r="E19" s="22" t="str">
        <f>INDEX(MeritBonus!$J$9:$J$500,MATCH('Performance Summary'!A19,MeritBonus!$F$9:$F$500,0))</f>
        <v>South</v>
      </c>
      <c r="F19" s="22" t="str">
        <f>INDEX(MeritBonus!$N$9:$N$500,MATCH('Performance Summary'!A19,MeritBonus!$F$9:$F$500,0))</f>
        <v>Active</v>
      </c>
      <c r="G19" s="22" t="str">
        <f>INDEX(MeritBonus!$AG$9:$AG$500,MATCH('Performance Summary'!A19,MeritBonus!$F$9:$F$500,0))</f>
        <v>Meets</v>
      </c>
      <c r="H19" s="32" t="str">
        <f>INDEX(MeritBonus!$CV$9:$CV$500,MATCH('Performance Summary'!A19,MeritBonus!$F$9:$F$500,0))</f>
        <v>67890;99485</v>
      </c>
      <c r="I19" s="32" t="str">
        <f t="shared" si="1"/>
        <v/>
      </c>
      <c r="J19" s="32" t="str">
        <f t="shared" si="2"/>
        <v>Jason Pina</v>
      </c>
      <c r="K19" s="32" t="str">
        <f t="shared" si="3"/>
        <v/>
      </c>
      <c r="L19" s="32" t="str">
        <f t="shared" si="4"/>
        <v/>
      </c>
      <c r="M19" s="1"/>
      <c r="N19" s="198" t="str">
        <f t="shared" si="0"/>
        <v>Show</v>
      </c>
      <c r="O19" s="1"/>
      <c r="P19" s="1"/>
      <c r="Q19" s="1"/>
      <c r="R19" s="1"/>
      <c r="S19" s="1"/>
      <c r="T19" s="1"/>
      <c r="U19" s="1"/>
      <c r="V19" s="98"/>
      <c r="W19" s="1"/>
      <c r="X19" s="1"/>
      <c r="Y19" s="1"/>
      <c r="Z19" s="1"/>
      <c r="AA19" s="1"/>
      <c r="AB19" s="1"/>
      <c r="AC19" s="1"/>
      <c r="AD19" s="1"/>
      <c r="AE19" s="1"/>
      <c r="AF19" s="98"/>
      <c r="AG19" s="1"/>
    </row>
    <row r="20" spans="1:33">
      <c r="A20" s="5">
        <v>1910</v>
      </c>
      <c r="B20" s="22" t="str">
        <f>INDEX(MeritBonus!$G$9:$G$500,MATCH('Performance Summary'!A20,MeritBonus!$F$9:$F$500,0))</f>
        <v>Stephen Alleman</v>
      </c>
      <c r="C20" s="22">
        <f>INDEX(MeritBonus!$L$9:$L$500,MATCH('Performance Summary'!A20,MeritBonus!$F$9:$F$500,0))</f>
        <v>20714</v>
      </c>
      <c r="D20" s="22" t="str">
        <f>INDEX(MeritBonus!$M$9:$M$500,MATCH('Performance Summary'!A20,MeritBonus!$F$9:$F$500,0))</f>
        <v>Robert Boatwright</v>
      </c>
      <c r="E20" s="22" t="str">
        <f>INDEX(MeritBonus!$J$9:$J$500,MATCH('Performance Summary'!A20,MeritBonus!$F$9:$F$500,0))</f>
        <v>West</v>
      </c>
      <c r="F20" s="22" t="str">
        <f>INDEX(MeritBonus!$N$9:$N$500,MATCH('Performance Summary'!A20,MeritBonus!$F$9:$F$500,0))</f>
        <v>Active</v>
      </c>
      <c r="G20" s="22" t="str">
        <f>INDEX(MeritBonus!$AG$9:$AG$500,MATCH('Performance Summary'!A20,MeritBonus!$F$9:$F$500,0))</f>
        <v>Meets</v>
      </c>
      <c r="H20" s="32" t="str">
        <f>INDEX(MeritBonus!$CV$9:$CV$500,MATCH('Performance Summary'!A20,MeritBonus!$F$9:$F$500,0))</f>
        <v>67890;99485</v>
      </c>
      <c r="I20" s="32" t="str">
        <f t="shared" si="1"/>
        <v/>
      </c>
      <c r="J20" s="32" t="str">
        <f t="shared" si="2"/>
        <v>Stephen Alleman</v>
      </c>
      <c r="K20" s="32" t="str">
        <f t="shared" si="3"/>
        <v/>
      </c>
      <c r="L20" s="32" t="str">
        <f t="shared" si="4"/>
        <v/>
      </c>
      <c r="M20" s="1"/>
      <c r="N20" s="198" t="str">
        <f t="shared" si="0"/>
        <v>Show</v>
      </c>
      <c r="O20" s="1"/>
      <c r="P20" s="1"/>
      <c r="Q20" s="1"/>
      <c r="R20" s="1"/>
      <c r="S20" s="1"/>
      <c r="T20" s="1"/>
      <c r="U20" s="1"/>
      <c r="V20" s="98"/>
      <c r="W20" s="1"/>
      <c r="X20" s="1"/>
      <c r="Y20" s="1"/>
      <c r="Z20" s="1"/>
      <c r="AA20" s="1"/>
      <c r="AB20" s="1"/>
      <c r="AC20" s="1"/>
      <c r="AD20" s="1"/>
      <c r="AE20" s="1"/>
      <c r="AF20" s="98"/>
      <c r="AG20" s="1"/>
    </row>
    <row r="21" spans="1:33">
      <c r="A21" s="5">
        <v>1930</v>
      </c>
      <c r="B21" s="22" t="str">
        <f>INDEX(MeritBonus!$G$9:$G$500,MATCH('Performance Summary'!A21,MeritBonus!$F$9:$F$500,0))</f>
        <v>Antonio Lasher</v>
      </c>
      <c r="C21" s="22">
        <f>INDEX(MeritBonus!$L$9:$L$500,MATCH('Performance Summary'!A21,MeritBonus!$F$9:$F$500,0))</f>
        <v>20714</v>
      </c>
      <c r="D21" s="22" t="str">
        <f>INDEX(MeritBonus!$M$9:$M$500,MATCH('Performance Summary'!A21,MeritBonus!$F$9:$F$500,0))</f>
        <v>Robert Boatwright</v>
      </c>
      <c r="E21" s="22" t="str">
        <f>INDEX(MeritBonus!$J$9:$J$500,MATCH('Performance Summary'!A21,MeritBonus!$F$9:$F$500,0))</f>
        <v>South</v>
      </c>
      <c r="F21" s="22" t="str">
        <f>INDEX(MeritBonus!$N$9:$N$500,MATCH('Performance Summary'!A21,MeritBonus!$F$9:$F$500,0))</f>
        <v>Active</v>
      </c>
      <c r="G21" s="22" t="str">
        <f>INDEX(MeritBonus!$AG$9:$AG$500,MATCH('Performance Summary'!A21,MeritBonus!$F$9:$F$500,0))</f>
        <v>Meets</v>
      </c>
      <c r="H21" s="32" t="str">
        <f>INDEX(MeritBonus!$CV$9:$CV$500,MATCH('Performance Summary'!A21,MeritBonus!$F$9:$F$500,0))</f>
        <v>67890;99485</v>
      </c>
      <c r="I21" s="32" t="str">
        <f t="shared" si="1"/>
        <v/>
      </c>
      <c r="J21" s="32" t="str">
        <f t="shared" si="2"/>
        <v>Antonio Lasher</v>
      </c>
      <c r="K21" s="32" t="str">
        <f t="shared" si="3"/>
        <v/>
      </c>
      <c r="L21" s="32" t="str">
        <f t="shared" si="4"/>
        <v/>
      </c>
      <c r="M21" s="1"/>
      <c r="N21" s="198" t="str">
        <f t="shared" si="0"/>
        <v>Show</v>
      </c>
      <c r="O21" s="1"/>
      <c r="P21" s="1"/>
      <c r="Q21" s="1"/>
      <c r="R21" s="1"/>
      <c r="S21" s="1"/>
      <c r="T21" s="1"/>
      <c r="U21" s="1"/>
      <c r="V21" s="98"/>
      <c r="W21" s="1"/>
      <c r="X21" s="1"/>
      <c r="Y21" s="1"/>
      <c r="Z21" s="1"/>
      <c r="AA21" s="1"/>
      <c r="AB21" s="1"/>
      <c r="AC21" s="1"/>
      <c r="AD21" s="1"/>
      <c r="AE21" s="1"/>
      <c r="AF21" s="98"/>
      <c r="AG21" s="1"/>
    </row>
    <row r="22" spans="1:33">
      <c r="A22" s="5">
        <v>1935</v>
      </c>
      <c r="B22" s="22" t="str">
        <f>INDEX(MeritBonus!$G$9:$G$500,MATCH('Performance Summary'!A22,MeritBonus!$F$9:$F$500,0))</f>
        <v>Regina Vanhouten</v>
      </c>
      <c r="C22" s="22">
        <f>INDEX(MeritBonus!$L$9:$L$500,MATCH('Performance Summary'!A22,MeritBonus!$F$9:$F$500,0))</f>
        <v>20714</v>
      </c>
      <c r="D22" s="22" t="str">
        <f>INDEX(MeritBonus!$M$9:$M$500,MATCH('Performance Summary'!A22,MeritBonus!$F$9:$F$500,0))</f>
        <v>Robert Boatwright</v>
      </c>
      <c r="E22" s="22" t="str">
        <f>INDEX(MeritBonus!$J$9:$J$500,MATCH('Performance Summary'!A22,MeritBonus!$F$9:$F$500,0))</f>
        <v>South</v>
      </c>
      <c r="F22" s="22" t="str">
        <f>INDEX(MeritBonus!$N$9:$N$500,MATCH('Performance Summary'!A22,MeritBonus!$F$9:$F$500,0))</f>
        <v>Active</v>
      </c>
      <c r="G22" s="22" t="str">
        <f>INDEX(MeritBonus!$AG$9:$AG$500,MATCH('Performance Summary'!A22,MeritBonus!$F$9:$F$500,0))</f>
        <v>Meets</v>
      </c>
      <c r="H22" s="32" t="str">
        <f>INDEX(MeritBonus!$CV$9:$CV$500,MATCH('Performance Summary'!A22,MeritBonus!$F$9:$F$500,0))</f>
        <v>67890;99485</v>
      </c>
      <c r="I22" s="32" t="str">
        <f t="shared" si="1"/>
        <v/>
      </c>
      <c r="J22" s="32" t="str">
        <f t="shared" si="2"/>
        <v>Regina Vanhouten</v>
      </c>
      <c r="K22" s="32" t="str">
        <f t="shared" si="3"/>
        <v/>
      </c>
      <c r="L22" s="32" t="str">
        <f t="shared" si="4"/>
        <v/>
      </c>
      <c r="M22" s="1"/>
      <c r="N22" s="198" t="str">
        <f t="shared" si="0"/>
        <v>Show</v>
      </c>
      <c r="O22" s="1"/>
      <c r="P22" s="1"/>
      <c r="Q22" s="1"/>
      <c r="R22" s="1"/>
      <c r="S22" s="1"/>
      <c r="T22" s="1"/>
      <c r="U22" s="1"/>
      <c r="V22" s="98"/>
      <c r="W22" s="1"/>
      <c r="X22" s="1"/>
      <c r="Y22" s="1"/>
      <c r="Z22" s="1"/>
      <c r="AA22" s="1"/>
      <c r="AB22" s="1"/>
      <c r="AC22" s="1"/>
      <c r="AD22" s="1"/>
      <c r="AE22" s="1"/>
      <c r="AF22" s="98"/>
      <c r="AG22" s="1"/>
    </row>
    <row r="23" spans="1:33">
      <c r="A23" s="5">
        <v>1958</v>
      </c>
      <c r="B23" s="22" t="str">
        <f>INDEX(MeritBonus!$G$9:$G$500,MATCH('Performance Summary'!A23,MeritBonus!$F$9:$F$500,0))</f>
        <v>Dennis Bowman</v>
      </c>
      <c r="C23" s="22">
        <f>INDEX(MeritBonus!$L$9:$L$500,MATCH('Performance Summary'!A23,MeritBonus!$F$9:$F$500,0))</f>
        <v>11498</v>
      </c>
      <c r="D23" s="22" t="str">
        <f>INDEX(MeritBonus!$M$9:$M$500,MATCH('Performance Summary'!A23,MeritBonus!$F$9:$F$500,0))</f>
        <v>John Jaworski</v>
      </c>
      <c r="E23" s="22" t="str">
        <f>INDEX(MeritBonus!$J$9:$J$500,MATCH('Performance Summary'!A23,MeritBonus!$F$9:$F$500,0))</f>
        <v>South</v>
      </c>
      <c r="F23" s="22" t="str">
        <f>INDEX(MeritBonus!$N$9:$N$500,MATCH('Performance Summary'!A23,MeritBonus!$F$9:$F$500,0))</f>
        <v>Active</v>
      </c>
      <c r="G23" s="22" t="str">
        <f>INDEX(MeritBonus!$AG$9:$AG$500,MATCH('Performance Summary'!A23,MeritBonus!$F$9:$F$500,0))</f>
        <v>Meets</v>
      </c>
      <c r="H23" s="32" t="str">
        <f>INDEX(MeritBonus!$CV$9:$CV$500,MATCH('Performance Summary'!A23,MeritBonus!$F$9:$F$500,0))</f>
        <v>99485;36523</v>
      </c>
      <c r="I23" s="32" t="str">
        <f t="shared" si="1"/>
        <v/>
      </c>
      <c r="J23" s="32" t="str">
        <f t="shared" si="2"/>
        <v>Dennis Bowman</v>
      </c>
      <c r="K23" s="32" t="str">
        <f t="shared" si="3"/>
        <v/>
      </c>
      <c r="L23" s="32" t="str">
        <f t="shared" si="4"/>
        <v/>
      </c>
      <c r="M23" s="1"/>
      <c r="N23" s="198" t="str">
        <f t="shared" si="0"/>
        <v>Show</v>
      </c>
      <c r="O23" s="1"/>
      <c r="P23" s="1"/>
      <c r="Q23" s="1"/>
      <c r="R23" s="1"/>
      <c r="S23" s="1"/>
      <c r="T23" s="1"/>
      <c r="U23" s="1"/>
      <c r="V23" s="98"/>
      <c r="W23" s="1"/>
      <c r="X23" s="1"/>
      <c r="Y23" s="1"/>
      <c r="Z23" s="1"/>
      <c r="AA23" s="1"/>
      <c r="AB23" s="1"/>
      <c r="AC23" s="1"/>
      <c r="AD23" s="1"/>
      <c r="AE23" s="1"/>
      <c r="AF23" s="98"/>
      <c r="AG23" s="1"/>
    </row>
    <row r="24" spans="1:33">
      <c r="A24" s="5">
        <v>1981</v>
      </c>
      <c r="B24" s="22" t="str">
        <f>INDEX(MeritBonus!$G$9:$G$500,MATCH('Performance Summary'!A24,MeritBonus!$F$9:$F$500,0))</f>
        <v>Wendy Solberg</v>
      </c>
      <c r="C24" s="22">
        <f>INDEX(MeritBonus!$L$9:$L$500,MATCH('Performance Summary'!A24,MeritBonus!$F$9:$F$500,0))</f>
        <v>11498</v>
      </c>
      <c r="D24" s="22" t="str">
        <f>INDEX(MeritBonus!$M$9:$M$500,MATCH('Performance Summary'!A24,MeritBonus!$F$9:$F$500,0))</f>
        <v>John Jaworski</v>
      </c>
      <c r="E24" s="22" t="str">
        <f>INDEX(MeritBonus!$J$9:$J$500,MATCH('Performance Summary'!A24,MeritBonus!$F$9:$F$500,0))</f>
        <v>South</v>
      </c>
      <c r="F24" s="22" t="str">
        <f>INDEX(MeritBonus!$N$9:$N$500,MATCH('Performance Summary'!A24,MeritBonus!$F$9:$F$500,0))</f>
        <v>Active</v>
      </c>
      <c r="G24" s="22" t="str">
        <f>INDEX(MeritBonus!$AG$9:$AG$500,MATCH('Performance Summary'!A24,MeritBonus!$F$9:$F$500,0))</f>
        <v>Meets</v>
      </c>
      <c r="H24" s="32" t="str">
        <f>INDEX(MeritBonus!$CV$9:$CV$500,MATCH('Performance Summary'!A24,MeritBonus!$F$9:$F$500,0))</f>
        <v>99485;36523</v>
      </c>
      <c r="I24" s="32" t="str">
        <f t="shared" si="1"/>
        <v/>
      </c>
      <c r="J24" s="32" t="str">
        <f t="shared" si="2"/>
        <v>Wendy Solberg</v>
      </c>
      <c r="K24" s="32" t="str">
        <f t="shared" si="3"/>
        <v/>
      </c>
      <c r="L24" s="32" t="str">
        <f t="shared" si="4"/>
        <v/>
      </c>
      <c r="M24" s="1"/>
      <c r="N24" s="198" t="str">
        <f t="shared" si="0"/>
        <v>Show</v>
      </c>
      <c r="O24" s="1"/>
      <c r="P24" s="1"/>
      <c r="Q24" s="1"/>
      <c r="R24" s="1"/>
      <c r="S24" s="1"/>
      <c r="T24" s="1"/>
      <c r="U24" s="1"/>
      <c r="V24" s="98"/>
      <c r="W24" s="1"/>
      <c r="X24" s="1"/>
      <c r="Y24" s="1"/>
      <c r="Z24" s="1"/>
      <c r="AA24" s="1"/>
      <c r="AB24" s="1"/>
      <c r="AC24" s="1"/>
      <c r="AD24" s="1"/>
      <c r="AE24" s="1"/>
      <c r="AF24" s="98"/>
      <c r="AG24" s="1"/>
    </row>
    <row r="25" spans="1:33">
      <c r="A25" s="5">
        <v>2048</v>
      </c>
      <c r="B25" s="22" t="str">
        <f>INDEX(MeritBonus!$G$9:$G$500,MATCH('Performance Summary'!A25,MeritBonus!$F$9:$F$500,0))</f>
        <v>Jane Hendrick</v>
      </c>
      <c r="C25" s="22">
        <f>INDEX(MeritBonus!$L$9:$L$500,MATCH('Performance Summary'!A25,MeritBonus!$F$9:$F$500,0))</f>
        <v>11498</v>
      </c>
      <c r="D25" s="22" t="str">
        <f>INDEX(MeritBonus!$M$9:$M$500,MATCH('Performance Summary'!A25,MeritBonus!$F$9:$F$500,0))</f>
        <v>John Jaworski</v>
      </c>
      <c r="E25" s="22" t="str">
        <f>INDEX(MeritBonus!$J$9:$J$500,MATCH('Performance Summary'!A25,MeritBonus!$F$9:$F$500,0))</f>
        <v>South</v>
      </c>
      <c r="F25" s="22" t="str">
        <f>INDEX(MeritBonus!$N$9:$N$500,MATCH('Performance Summary'!A25,MeritBonus!$F$9:$F$500,0))</f>
        <v>Active</v>
      </c>
      <c r="G25" s="22" t="str">
        <f>INDEX(MeritBonus!$AG$9:$AG$500,MATCH('Performance Summary'!A25,MeritBonus!$F$9:$F$500,0))</f>
        <v>Meets</v>
      </c>
      <c r="H25" s="32" t="str">
        <f>INDEX(MeritBonus!$CV$9:$CV$500,MATCH('Performance Summary'!A25,MeritBonus!$F$9:$F$500,0))</f>
        <v>99485;36523</v>
      </c>
      <c r="I25" s="32" t="str">
        <f t="shared" si="1"/>
        <v/>
      </c>
      <c r="J25" s="32" t="str">
        <f t="shared" si="2"/>
        <v>Jane Hendrick</v>
      </c>
      <c r="K25" s="32" t="str">
        <f t="shared" si="3"/>
        <v/>
      </c>
      <c r="L25" s="32" t="str">
        <f t="shared" si="4"/>
        <v/>
      </c>
      <c r="M25" s="1"/>
      <c r="N25" s="198" t="str">
        <f t="shared" si="0"/>
        <v>Show</v>
      </c>
      <c r="O25" s="1"/>
      <c r="P25" s="1"/>
      <c r="Q25" s="1"/>
      <c r="R25" s="1"/>
      <c r="S25" s="1"/>
      <c r="T25" s="1"/>
      <c r="U25" s="1"/>
      <c r="V25" s="98"/>
      <c r="W25" s="1"/>
      <c r="X25" s="1"/>
      <c r="Y25" s="1"/>
      <c r="Z25" s="1"/>
      <c r="AA25" s="1"/>
      <c r="AB25" s="1"/>
      <c r="AC25" s="1"/>
      <c r="AD25" s="1"/>
      <c r="AE25" s="1"/>
      <c r="AF25" s="98"/>
      <c r="AG25" s="1"/>
    </row>
    <row r="26" spans="1:33">
      <c r="A26" s="5">
        <v>2280</v>
      </c>
      <c r="B26" s="22" t="str">
        <f>INDEX(MeritBonus!$G$9:$G$500,MATCH('Performance Summary'!A26,MeritBonus!$F$9:$F$500,0))</f>
        <v>Christopher Abram</v>
      </c>
      <c r="C26" s="22">
        <f>INDEX(MeritBonus!$L$9:$L$500,MATCH('Performance Summary'!A26,MeritBonus!$F$9:$F$500,0))</f>
        <v>11308</v>
      </c>
      <c r="D26" s="22" t="str">
        <f>INDEX(MeritBonus!$M$9:$M$500,MATCH('Performance Summary'!A26,MeritBonus!$F$9:$F$500,0))</f>
        <v>Todd Falco</v>
      </c>
      <c r="E26" s="22" t="str">
        <f>INDEX(MeritBonus!$J$9:$J$500,MATCH('Performance Summary'!A26,MeritBonus!$F$9:$F$500,0))</f>
        <v>South</v>
      </c>
      <c r="F26" s="22" t="str">
        <f>INDEX(MeritBonus!$N$9:$N$500,MATCH('Performance Summary'!A26,MeritBonus!$F$9:$F$500,0))</f>
        <v>Active</v>
      </c>
      <c r="G26" s="22" t="str">
        <f>INDEX(MeritBonus!$AG$9:$AG$500,MATCH('Performance Summary'!A26,MeritBonus!$F$9:$F$500,0))</f>
        <v>Meets</v>
      </c>
      <c r="H26" s="32" t="str">
        <f>INDEX(MeritBonus!$CV$9:$CV$500,MATCH('Performance Summary'!A26,MeritBonus!$F$9:$F$500,0))</f>
        <v>67890;99485</v>
      </c>
      <c r="I26" s="32" t="str">
        <f t="shared" si="1"/>
        <v/>
      </c>
      <c r="J26" s="32" t="str">
        <f t="shared" si="2"/>
        <v>Christopher Abram</v>
      </c>
      <c r="K26" s="32" t="str">
        <f t="shared" si="3"/>
        <v/>
      </c>
      <c r="L26" s="32" t="str">
        <f t="shared" si="4"/>
        <v/>
      </c>
      <c r="M26" s="1"/>
      <c r="N26" s="198" t="str">
        <f t="shared" si="0"/>
        <v>Show</v>
      </c>
      <c r="O26" s="1"/>
      <c r="P26" s="1"/>
      <c r="Q26" s="1"/>
      <c r="R26" s="1"/>
      <c r="S26" s="1"/>
      <c r="T26" s="1"/>
      <c r="U26" s="1"/>
      <c r="V26" s="98"/>
      <c r="W26" s="1"/>
      <c r="X26" s="1"/>
      <c r="Y26" s="1"/>
      <c r="Z26" s="1"/>
      <c r="AA26" s="1"/>
      <c r="AB26" s="1"/>
      <c r="AC26" s="1"/>
      <c r="AD26" s="1"/>
      <c r="AE26" s="1"/>
      <c r="AF26" s="98"/>
      <c r="AG26" s="1"/>
    </row>
    <row r="27" spans="1:33">
      <c r="A27" s="5">
        <v>2314</v>
      </c>
      <c r="B27" s="22" t="str">
        <f>INDEX(MeritBonus!$G$9:$G$500,MATCH('Performance Summary'!A27,MeritBonus!$F$9:$F$500,0))</f>
        <v>Tanya Westphal</v>
      </c>
      <c r="C27" s="22">
        <f>INDEX(MeritBonus!$L$9:$L$500,MATCH('Performance Summary'!A27,MeritBonus!$F$9:$F$500,0))</f>
        <v>11498</v>
      </c>
      <c r="D27" s="22" t="str">
        <f>INDEX(MeritBonus!$M$9:$M$500,MATCH('Performance Summary'!A27,MeritBonus!$F$9:$F$500,0))</f>
        <v>John Jaworski</v>
      </c>
      <c r="E27" s="22" t="str">
        <f>INDEX(MeritBonus!$J$9:$J$500,MATCH('Performance Summary'!A27,MeritBonus!$F$9:$F$500,0))</f>
        <v>South</v>
      </c>
      <c r="F27" s="22" t="str">
        <f>INDEX(MeritBonus!$N$9:$N$500,MATCH('Performance Summary'!A27,MeritBonus!$F$9:$F$500,0))</f>
        <v>Active</v>
      </c>
      <c r="G27" s="22" t="str">
        <f>INDEX(MeritBonus!$AG$9:$AG$500,MATCH('Performance Summary'!A27,MeritBonus!$F$9:$F$500,0))</f>
        <v>Meets</v>
      </c>
      <c r="H27" s="32" t="str">
        <f>INDEX(MeritBonus!$CV$9:$CV$500,MATCH('Performance Summary'!A27,MeritBonus!$F$9:$F$500,0))</f>
        <v>99485;36523</v>
      </c>
      <c r="I27" s="32" t="str">
        <f t="shared" si="1"/>
        <v/>
      </c>
      <c r="J27" s="32" t="str">
        <f t="shared" si="2"/>
        <v>Tanya Westphal</v>
      </c>
      <c r="K27" s="32" t="str">
        <f t="shared" si="3"/>
        <v/>
      </c>
      <c r="L27" s="32" t="str">
        <f t="shared" si="4"/>
        <v/>
      </c>
      <c r="M27" s="1"/>
      <c r="N27" s="198" t="str">
        <f t="shared" si="0"/>
        <v>Show</v>
      </c>
      <c r="O27" s="1"/>
      <c r="P27" s="1"/>
      <c r="Q27" s="1"/>
      <c r="R27" s="1"/>
      <c r="S27" s="1"/>
      <c r="T27" s="1"/>
      <c r="U27" s="1"/>
      <c r="V27" s="98"/>
      <c r="W27" s="1"/>
      <c r="X27" s="1"/>
      <c r="Y27" s="1"/>
      <c r="Z27" s="1"/>
      <c r="AA27" s="1"/>
      <c r="AB27" s="1"/>
      <c r="AC27" s="1"/>
      <c r="AD27" s="1"/>
      <c r="AE27" s="1"/>
      <c r="AF27" s="98"/>
      <c r="AG27" s="1"/>
    </row>
    <row r="28" spans="1:33">
      <c r="A28" s="5">
        <v>2315</v>
      </c>
      <c r="B28" s="22" t="str">
        <f>INDEX(MeritBonus!$G$9:$G$500,MATCH('Performance Summary'!A28,MeritBonus!$F$9:$F$500,0))</f>
        <v>Megan Burnette</v>
      </c>
      <c r="C28" s="22">
        <f>INDEX(MeritBonus!$L$9:$L$500,MATCH('Performance Summary'!A28,MeritBonus!$F$9:$F$500,0))</f>
        <v>11498</v>
      </c>
      <c r="D28" s="22" t="str">
        <f>INDEX(MeritBonus!$M$9:$M$500,MATCH('Performance Summary'!A28,MeritBonus!$F$9:$F$500,0))</f>
        <v>John Jaworski</v>
      </c>
      <c r="E28" s="22" t="str">
        <f>INDEX(MeritBonus!$J$9:$J$500,MATCH('Performance Summary'!A28,MeritBonus!$F$9:$F$500,0))</f>
        <v>South</v>
      </c>
      <c r="F28" s="22" t="str">
        <f>INDEX(MeritBonus!$N$9:$N$500,MATCH('Performance Summary'!A28,MeritBonus!$F$9:$F$500,0))</f>
        <v>Active</v>
      </c>
      <c r="G28" s="22" t="str">
        <f>INDEX(MeritBonus!$AG$9:$AG$500,MATCH('Performance Summary'!A28,MeritBonus!$F$9:$F$500,0))</f>
        <v>Meets</v>
      </c>
      <c r="H28" s="32" t="str">
        <f>INDEX(MeritBonus!$CV$9:$CV$500,MATCH('Performance Summary'!A28,MeritBonus!$F$9:$F$500,0))</f>
        <v>99485;36523</v>
      </c>
      <c r="I28" s="32" t="str">
        <f t="shared" si="1"/>
        <v/>
      </c>
      <c r="J28" s="32" t="str">
        <f t="shared" si="2"/>
        <v>Megan Burnette</v>
      </c>
      <c r="K28" s="32" t="str">
        <f t="shared" si="3"/>
        <v/>
      </c>
      <c r="L28" s="32" t="str">
        <f t="shared" si="4"/>
        <v/>
      </c>
      <c r="M28" s="1"/>
      <c r="N28" s="198" t="str">
        <f t="shared" si="0"/>
        <v>Show</v>
      </c>
      <c r="O28" s="1"/>
      <c r="P28" s="1"/>
      <c r="Q28" s="1"/>
      <c r="R28" s="1"/>
      <c r="S28" s="1"/>
      <c r="T28" s="1"/>
      <c r="U28" s="1"/>
      <c r="V28" s="98"/>
      <c r="W28" s="1"/>
      <c r="X28" s="1"/>
      <c r="Y28" s="1"/>
      <c r="Z28" s="1"/>
      <c r="AA28" s="1"/>
      <c r="AB28" s="1"/>
      <c r="AC28" s="1"/>
      <c r="AD28" s="1"/>
      <c r="AE28" s="1"/>
      <c r="AF28" s="98"/>
      <c r="AG28" s="1"/>
    </row>
    <row r="29" spans="1:33">
      <c r="A29" s="5">
        <v>2330</v>
      </c>
      <c r="B29" s="22" t="str">
        <f>INDEX(MeritBonus!$G$9:$G$500,MATCH('Performance Summary'!A29,MeritBonus!$F$9:$F$500,0))</f>
        <v>Janet Anthony</v>
      </c>
      <c r="C29" s="22">
        <f>INDEX(MeritBonus!$L$9:$L$500,MATCH('Performance Summary'!A29,MeritBonus!$F$9:$F$500,0))</f>
        <v>11498</v>
      </c>
      <c r="D29" s="22" t="str">
        <f>INDEX(MeritBonus!$M$9:$M$500,MATCH('Performance Summary'!A29,MeritBonus!$F$9:$F$500,0))</f>
        <v>John Jaworski</v>
      </c>
      <c r="E29" s="22" t="str">
        <f>INDEX(MeritBonus!$J$9:$J$500,MATCH('Performance Summary'!A29,MeritBonus!$F$9:$F$500,0))</f>
        <v>South</v>
      </c>
      <c r="F29" s="22" t="str">
        <f>INDEX(MeritBonus!$N$9:$N$500,MATCH('Performance Summary'!A29,MeritBonus!$F$9:$F$500,0))</f>
        <v>Active</v>
      </c>
      <c r="G29" s="22" t="str">
        <f>INDEX(MeritBonus!$AG$9:$AG$500,MATCH('Performance Summary'!A29,MeritBonus!$F$9:$F$500,0))</f>
        <v>Exceeds</v>
      </c>
      <c r="H29" s="32" t="str">
        <f>INDEX(MeritBonus!$CV$9:$CV$500,MATCH('Performance Summary'!A29,MeritBonus!$F$9:$F$500,0))</f>
        <v>99485;36523</v>
      </c>
      <c r="I29" s="32" t="str">
        <f t="shared" si="1"/>
        <v>Janet Anthony</v>
      </c>
      <c r="J29" s="32" t="str">
        <f t="shared" si="2"/>
        <v/>
      </c>
      <c r="K29" s="32" t="str">
        <f t="shared" si="3"/>
        <v/>
      </c>
      <c r="L29" s="32" t="str">
        <f t="shared" si="4"/>
        <v/>
      </c>
      <c r="M29" s="1"/>
      <c r="N29" s="198" t="str">
        <f t="shared" si="0"/>
        <v>Show</v>
      </c>
      <c r="O29" s="1"/>
      <c r="P29" s="1"/>
      <c r="Q29" s="1"/>
      <c r="R29" s="1"/>
      <c r="S29" s="1"/>
      <c r="T29" s="1"/>
      <c r="U29" s="1"/>
      <c r="V29" s="98"/>
      <c r="W29" s="1"/>
      <c r="X29" s="1"/>
      <c r="Y29" s="1"/>
      <c r="Z29" s="1"/>
      <c r="AA29" s="1"/>
      <c r="AB29" s="1"/>
      <c r="AC29" s="1"/>
      <c r="AD29" s="1"/>
      <c r="AE29" s="1"/>
      <c r="AF29" s="98"/>
      <c r="AG29" s="1"/>
    </row>
    <row r="30" spans="1:33">
      <c r="A30" s="5">
        <v>2334</v>
      </c>
      <c r="B30" s="22" t="str">
        <f>INDEX(MeritBonus!$G$9:$G$500,MATCH('Performance Summary'!A30,MeritBonus!$F$9:$F$500,0))</f>
        <v>Peggy Case</v>
      </c>
      <c r="C30" s="22">
        <f>INDEX(MeritBonus!$L$9:$L$500,MATCH('Performance Summary'!A30,MeritBonus!$F$9:$F$500,0))</f>
        <v>11498</v>
      </c>
      <c r="D30" s="22" t="str">
        <f>INDEX(MeritBonus!$M$9:$M$500,MATCH('Performance Summary'!A30,MeritBonus!$F$9:$F$500,0))</f>
        <v>John Jaworski</v>
      </c>
      <c r="E30" s="22" t="str">
        <f>INDEX(MeritBonus!$J$9:$J$500,MATCH('Performance Summary'!A30,MeritBonus!$F$9:$F$500,0))</f>
        <v>South</v>
      </c>
      <c r="F30" s="22" t="str">
        <f>INDEX(MeritBonus!$N$9:$N$500,MATCH('Performance Summary'!A30,MeritBonus!$F$9:$F$500,0))</f>
        <v>Active</v>
      </c>
      <c r="G30" s="22" t="str">
        <f>INDEX(MeritBonus!$AG$9:$AG$500,MATCH('Performance Summary'!A30,MeritBonus!$F$9:$F$500,0))</f>
        <v>Meets</v>
      </c>
      <c r="H30" s="32" t="str">
        <f>INDEX(MeritBonus!$CV$9:$CV$500,MATCH('Performance Summary'!A30,MeritBonus!$F$9:$F$500,0))</f>
        <v>99485;36523</v>
      </c>
      <c r="I30" s="32" t="str">
        <f t="shared" si="1"/>
        <v/>
      </c>
      <c r="J30" s="32" t="str">
        <f t="shared" si="2"/>
        <v>Peggy Case</v>
      </c>
      <c r="K30" s="32" t="str">
        <f t="shared" si="3"/>
        <v/>
      </c>
      <c r="L30" s="32" t="str">
        <f t="shared" si="4"/>
        <v/>
      </c>
      <c r="M30" s="1"/>
      <c r="N30" s="198" t="str">
        <f t="shared" si="0"/>
        <v>Show</v>
      </c>
      <c r="O30" s="1"/>
      <c r="P30" s="1"/>
      <c r="Q30" s="1"/>
      <c r="R30" s="1"/>
      <c r="S30" s="1"/>
      <c r="T30" s="1"/>
      <c r="U30" s="1"/>
      <c r="V30" s="98"/>
      <c r="W30" s="1"/>
      <c r="X30" s="1"/>
      <c r="Y30" s="1"/>
      <c r="Z30" s="1"/>
      <c r="AA30" s="1"/>
      <c r="AB30" s="1"/>
      <c r="AC30" s="1"/>
      <c r="AD30" s="1"/>
      <c r="AE30" s="1"/>
      <c r="AF30" s="98"/>
      <c r="AG30" s="1"/>
    </row>
    <row r="31" spans="1:33">
      <c r="A31" s="5">
        <v>2351</v>
      </c>
      <c r="B31" s="22" t="str">
        <f>INDEX(MeritBonus!$G$9:$G$500,MATCH('Performance Summary'!A31,MeritBonus!$F$9:$F$500,0))</f>
        <v>Thomas Fuhrman</v>
      </c>
      <c r="C31" s="22">
        <f>INDEX(MeritBonus!$L$9:$L$500,MATCH('Performance Summary'!A31,MeritBonus!$F$9:$F$500,0))</f>
        <v>11498</v>
      </c>
      <c r="D31" s="22" t="str">
        <f>INDEX(MeritBonus!$M$9:$M$500,MATCH('Performance Summary'!A31,MeritBonus!$F$9:$F$500,0))</f>
        <v>John Jaworski</v>
      </c>
      <c r="E31" s="22" t="str">
        <f>INDEX(MeritBonus!$J$9:$J$500,MATCH('Performance Summary'!A31,MeritBonus!$F$9:$F$500,0))</f>
        <v>South</v>
      </c>
      <c r="F31" s="22" t="str">
        <f>INDEX(MeritBonus!$N$9:$N$500,MATCH('Performance Summary'!A31,MeritBonus!$F$9:$F$500,0))</f>
        <v>Active</v>
      </c>
      <c r="G31" s="22" t="str">
        <f>INDEX(MeritBonus!$AG$9:$AG$500,MATCH('Performance Summary'!A31,MeritBonus!$F$9:$F$500,0))</f>
        <v>Meets</v>
      </c>
      <c r="H31" s="32" t="str">
        <f>INDEX(MeritBonus!$CV$9:$CV$500,MATCH('Performance Summary'!A31,MeritBonus!$F$9:$F$500,0))</f>
        <v>99485;36523</v>
      </c>
      <c r="I31" s="32" t="str">
        <f t="shared" si="1"/>
        <v/>
      </c>
      <c r="J31" s="32" t="str">
        <f t="shared" si="2"/>
        <v>Thomas Fuhrman</v>
      </c>
      <c r="K31" s="32" t="str">
        <f t="shared" si="3"/>
        <v/>
      </c>
      <c r="L31" s="32" t="str">
        <f t="shared" si="4"/>
        <v/>
      </c>
      <c r="M31" s="1"/>
      <c r="N31" s="198" t="str">
        <f t="shared" si="0"/>
        <v>Show</v>
      </c>
      <c r="O31" s="1"/>
      <c r="P31" s="1"/>
      <c r="Q31" s="1"/>
      <c r="R31" s="1"/>
      <c r="S31" s="1"/>
      <c r="T31" s="1"/>
      <c r="U31" s="1"/>
      <c r="V31" s="98"/>
      <c r="W31" s="1"/>
      <c r="X31" s="1"/>
      <c r="Y31" s="1"/>
      <c r="Z31" s="1"/>
      <c r="AA31" s="1"/>
      <c r="AB31" s="1"/>
      <c r="AC31" s="1"/>
      <c r="AD31" s="1"/>
      <c r="AE31" s="1"/>
      <c r="AF31" s="98"/>
      <c r="AG31" s="1"/>
    </row>
    <row r="32" spans="1:33">
      <c r="A32" s="5">
        <v>2354</v>
      </c>
      <c r="B32" s="22" t="str">
        <f>INDEX(MeritBonus!$G$9:$G$500,MATCH('Performance Summary'!A32,MeritBonus!$F$9:$F$500,0))</f>
        <v>Rosemary Rayborn</v>
      </c>
      <c r="C32" s="22">
        <f>INDEX(MeritBonus!$L$9:$L$500,MATCH('Performance Summary'!A32,MeritBonus!$F$9:$F$500,0))</f>
        <v>11498</v>
      </c>
      <c r="D32" s="22" t="str">
        <f>INDEX(MeritBonus!$M$9:$M$500,MATCH('Performance Summary'!A32,MeritBonus!$F$9:$F$500,0))</f>
        <v>John Jaworski</v>
      </c>
      <c r="E32" s="22" t="str">
        <f>INDEX(MeritBonus!$J$9:$J$500,MATCH('Performance Summary'!A32,MeritBonus!$F$9:$F$500,0))</f>
        <v>South</v>
      </c>
      <c r="F32" s="22" t="str">
        <f>INDEX(MeritBonus!$N$9:$N$500,MATCH('Performance Summary'!A32,MeritBonus!$F$9:$F$500,0))</f>
        <v>Active</v>
      </c>
      <c r="G32" s="22" t="str">
        <f>INDEX(MeritBonus!$AG$9:$AG$500,MATCH('Performance Summary'!A32,MeritBonus!$F$9:$F$500,0))</f>
        <v>Meets</v>
      </c>
      <c r="H32" s="32" t="str">
        <f>INDEX(MeritBonus!$CV$9:$CV$500,MATCH('Performance Summary'!A32,MeritBonus!$F$9:$F$500,0))</f>
        <v>99485;36523</v>
      </c>
      <c r="I32" s="32" t="str">
        <f t="shared" si="1"/>
        <v/>
      </c>
      <c r="J32" s="32" t="str">
        <f t="shared" si="2"/>
        <v>Rosemary Rayborn</v>
      </c>
      <c r="K32" s="32" t="str">
        <f t="shared" si="3"/>
        <v/>
      </c>
      <c r="L32" s="32" t="str">
        <f t="shared" si="4"/>
        <v/>
      </c>
      <c r="M32" s="1"/>
      <c r="N32" s="198" t="str">
        <f t="shared" si="0"/>
        <v>Show</v>
      </c>
      <c r="O32" s="1"/>
      <c r="P32" s="1"/>
      <c r="Q32" s="1"/>
      <c r="R32" s="1"/>
      <c r="S32" s="1"/>
      <c r="T32" s="1"/>
      <c r="U32" s="1"/>
      <c r="V32" s="98"/>
      <c r="W32" s="1"/>
      <c r="X32" s="1"/>
      <c r="Y32" s="1"/>
      <c r="Z32" s="1"/>
      <c r="AA32" s="1"/>
      <c r="AB32" s="1"/>
      <c r="AC32" s="1"/>
      <c r="AD32" s="1"/>
      <c r="AE32" s="1"/>
      <c r="AF32" s="98"/>
      <c r="AG32" s="1"/>
    </row>
    <row r="33" spans="1:33">
      <c r="A33" s="5">
        <v>2355</v>
      </c>
      <c r="B33" s="22" t="str">
        <f>INDEX(MeritBonus!$G$9:$G$500,MATCH('Performance Summary'!A33,MeritBonus!$F$9:$F$500,0))</f>
        <v>Monica Nieves</v>
      </c>
      <c r="C33" s="22">
        <f>INDEX(MeritBonus!$L$9:$L$500,MATCH('Performance Summary'!A33,MeritBonus!$F$9:$F$500,0))</f>
        <v>11498</v>
      </c>
      <c r="D33" s="22" t="str">
        <f>INDEX(MeritBonus!$M$9:$M$500,MATCH('Performance Summary'!A33,MeritBonus!$F$9:$F$500,0))</f>
        <v>John Jaworski</v>
      </c>
      <c r="E33" s="22" t="str">
        <f>INDEX(MeritBonus!$J$9:$J$500,MATCH('Performance Summary'!A33,MeritBonus!$F$9:$F$500,0))</f>
        <v>South</v>
      </c>
      <c r="F33" s="22" t="str">
        <f>INDEX(MeritBonus!$N$9:$N$500,MATCH('Performance Summary'!A33,MeritBonus!$F$9:$F$500,0))</f>
        <v>Active</v>
      </c>
      <c r="G33" s="22" t="str">
        <f>INDEX(MeritBonus!$AG$9:$AG$500,MATCH('Performance Summary'!A33,MeritBonus!$F$9:$F$500,0))</f>
        <v>Exceeds</v>
      </c>
      <c r="H33" s="32" t="str">
        <f>INDEX(MeritBonus!$CV$9:$CV$500,MATCH('Performance Summary'!A33,MeritBonus!$F$9:$F$500,0))</f>
        <v>99485;36523</v>
      </c>
      <c r="I33" s="32" t="str">
        <f t="shared" si="1"/>
        <v>Monica Nieves</v>
      </c>
      <c r="J33" s="32" t="str">
        <f t="shared" si="2"/>
        <v/>
      </c>
      <c r="K33" s="32" t="str">
        <f t="shared" si="3"/>
        <v/>
      </c>
      <c r="L33" s="32" t="str">
        <f t="shared" si="4"/>
        <v/>
      </c>
      <c r="M33" s="1"/>
      <c r="N33" s="198" t="str">
        <f t="shared" si="0"/>
        <v>Show</v>
      </c>
      <c r="O33" s="1"/>
      <c r="P33" s="1"/>
      <c r="Q33" s="1"/>
      <c r="R33" s="1"/>
      <c r="S33" s="1"/>
      <c r="T33" s="1"/>
      <c r="U33" s="1"/>
      <c r="V33" s="98"/>
      <c r="W33" s="1"/>
      <c r="X33" s="1"/>
      <c r="Y33" s="1"/>
      <c r="Z33" s="1"/>
      <c r="AA33" s="1"/>
      <c r="AB33" s="1"/>
      <c r="AC33" s="1"/>
      <c r="AD33" s="1"/>
      <c r="AE33" s="1"/>
      <c r="AF33" s="98"/>
      <c r="AG33" s="1"/>
    </row>
    <row r="34" spans="1:33">
      <c r="A34" s="5">
        <v>2357</v>
      </c>
      <c r="B34" s="22" t="str">
        <f>INDEX(MeritBonus!$G$9:$G$500,MATCH('Performance Summary'!A34,MeritBonus!$F$9:$F$500,0))</f>
        <v>Gerald Halliday</v>
      </c>
      <c r="C34" s="22">
        <f>INDEX(MeritBonus!$L$9:$L$500,MATCH('Performance Summary'!A34,MeritBonus!$F$9:$F$500,0))</f>
        <v>20714</v>
      </c>
      <c r="D34" s="22" t="str">
        <f>INDEX(MeritBonus!$M$9:$M$500,MATCH('Performance Summary'!A34,MeritBonus!$F$9:$F$500,0))</f>
        <v>Robert Boatwright</v>
      </c>
      <c r="E34" s="22" t="str">
        <f>INDEX(MeritBonus!$J$9:$J$500,MATCH('Performance Summary'!A34,MeritBonus!$F$9:$F$500,0))</f>
        <v>South</v>
      </c>
      <c r="F34" s="22" t="str">
        <f>INDEX(MeritBonus!$N$9:$N$500,MATCH('Performance Summary'!A34,MeritBonus!$F$9:$F$500,0))</f>
        <v>Active</v>
      </c>
      <c r="G34" s="22" t="str">
        <f>INDEX(MeritBonus!$AG$9:$AG$500,MATCH('Performance Summary'!A34,MeritBonus!$F$9:$F$500,0))</f>
        <v>Exceeds</v>
      </c>
      <c r="H34" s="32" t="str">
        <f>INDEX(MeritBonus!$CV$9:$CV$500,MATCH('Performance Summary'!A34,MeritBonus!$F$9:$F$500,0))</f>
        <v>67890;99485</v>
      </c>
      <c r="I34" s="32" t="str">
        <f t="shared" si="1"/>
        <v>Gerald Halliday</v>
      </c>
      <c r="J34" s="32" t="str">
        <f t="shared" si="2"/>
        <v/>
      </c>
      <c r="K34" s="32" t="str">
        <f t="shared" si="3"/>
        <v/>
      </c>
      <c r="L34" s="32" t="str">
        <f t="shared" si="4"/>
        <v/>
      </c>
      <c r="M34" s="1"/>
      <c r="N34" s="198" t="str">
        <f t="shared" si="0"/>
        <v>Show</v>
      </c>
      <c r="O34" s="1"/>
      <c r="P34" s="1"/>
      <c r="Q34" s="1"/>
      <c r="R34" s="1"/>
      <c r="S34" s="1"/>
      <c r="T34" s="1"/>
      <c r="U34" s="1"/>
      <c r="V34" s="98"/>
      <c r="W34" s="1"/>
      <c r="X34" s="1"/>
      <c r="Y34" s="1"/>
      <c r="Z34" s="1"/>
      <c r="AA34" s="1"/>
      <c r="AB34" s="1"/>
      <c r="AC34" s="1"/>
      <c r="AD34" s="1"/>
      <c r="AE34" s="1"/>
      <c r="AF34" s="98"/>
      <c r="AG34" s="1"/>
    </row>
    <row r="35" spans="1:33">
      <c r="A35" s="5">
        <v>2394</v>
      </c>
      <c r="B35" s="22" t="str">
        <f>INDEX(MeritBonus!$G$9:$G$500,MATCH('Performance Summary'!A35,MeritBonus!$F$9:$F$500,0))</f>
        <v>Katherine Rutledge</v>
      </c>
      <c r="C35" s="22">
        <f>INDEX(MeritBonus!$L$9:$L$500,MATCH('Performance Summary'!A35,MeritBonus!$F$9:$F$500,0))</f>
        <v>29342</v>
      </c>
      <c r="D35" s="22" t="str">
        <f>INDEX(MeritBonus!$M$9:$M$500,MATCH('Performance Summary'!A35,MeritBonus!$F$9:$F$500,0))</f>
        <v>Steven Van</v>
      </c>
      <c r="E35" s="22" t="str">
        <f>INDEX(MeritBonus!$J$9:$J$500,MATCH('Performance Summary'!A35,MeritBonus!$F$9:$F$500,0))</f>
        <v>Midwest</v>
      </c>
      <c r="F35" s="22" t="str">
        <f>INDEX(MeritBonus!$N$9:$N$500,MATCH('Performance Summary'!A35,MeritBonus!$F$9:$F$500,0))</f>
        <v>Active</v>
      </c>
      <c r="G35" s="22" t="str">
        <f>INDEX(MeritBonus!$AG$9:$AG$500,MATCH('Performance Summary'!A35,MeritBonus!$F$9:$F$500,0))</f>
        <v>Meets</v>
      </c>
      <c r="H35" s="32" t="str">
        <f>INDEX(MeritBonus!$CV$9:$CV$500,MATCH('Performance Summary'!A35,MeritBonus!$F$9:$F$500,0))</f>
        <v>67890;86672</v>
      </c>
      <c r="I35" s="32" t="str">
        <f t="shared" si="1"/>
        <v/>
      </c>
      <c r="J35" s="32" t="str">
        <f t="shared" si="2"/>
        <v>Katherine Rutledge</v>
      </c>
      <c r="K35" s="32" t="str">
        <f t="shared" si="3"/>
        <v/>
      </c>
      <c r="L35" s="32" t="str">
        <f t="shared" si="4"/>
        <v/>
      </c>
      <c r="M35" s="1"/>
      <c r="N35" s="198" t="str">
        <f t="shared" si="0"/>
        <v>Show</v>
      </c>
      <c r="O35" s="1"/>
      <c r="P35" s="1"/>
      <c r="Q35" s="1"/>
      <c r="R35" s="1"/>
      <c r="S35" s="1"/>
      <c r="T35" s="1"/>
      <c r="U35" s="1"/>
      <c r="V35" s="98"/>
      <c r="W35" s="1"/>
      <c r="X35" s="1"/>
      <c r="Y35" s="1"/>
      <c r="Z35" s="1"/>
      <c r="AA35" s="1"/>
      <c r="AB35" s="1"/>
      <c r="AC35" s="1"/>
      <c r="AD35" s="1"/>
      <c r="AE35" s="1"/>
      <c r="AF35" s="98"/>
      <c r="AG35" s="1"/>
    </row>
    <row r="36" spans="1:33">
      <c r="A36" s="5">
        <v>2397</v>
      </c>
      <c r="B36" s="22" t="str">
        <f>INDEX(MeritBonus!$G$9:$G$500,MATCH('Performance Summary'!A36,MeritBonus!$F$9:$F$500,0))</f>
        <v>Jodi Hammons</v>
      </c>
      <c r="C36" s="22">
        <f>INDEX(MeritBonus!$L$9:$L$500,MATCH('Performance Summary'!A36,MeritBonus!$F$9:$F$500,0))</f>
        <v>11498</v>
      </c>
      <c r="D36" s="22" t="str">
        <f>INDEX(MeritBonus!$M$9:$M$500,MATCH('Performance Summary'!A36,MeritBonus!$F$9:$F$500,0))</f>
        <v>John Jaworski</v>
      </c>
      <c r="E36" s="22" t="str">
        <f>INDEX(MeritBonus!$J$9:$J$500,MATCH('Performance Summary'!A36,MeritBonus!$F$9:$F$500,0))</f>
        <v>South</v>
      </c>
      <c r="F36" s="22" t="str">
        <f>INDEX(MeritBonus!$N$9:$N$500,MATCH('Performance Summary'!A36,MeritBonus!$F$9:$F$500,0))</f>
        <v>Active</v>
      </c>
      <c r="G36" s="22" t="str">
        <f>INDEX(MeritBonus!$AG$9:$AG$500,MATCH('Performance Summary'!A36,MeritBonus!$F$9:$F$500,0))</f>
        <v>Meets</v>
      </c>
      <c r="H36" s="32" t="str">
        <f>INDEX(MeritBonus!$CV$9:$CV$500,MATCH('Performance Summary'!A36,MeritBonus!$F$9:$F$500,0))</f>
        <v>99485;36523</v>
      </c>
      <c r="I36" s="32" t="str">
        <f t="shared" si="1"/>
        <v/>
      </c>
      <c r="J36" s="32" t="str">
        <f t="shared" si="2"/>
        <v>Jodi Hammons</v>
      </c>
      <c r="K36" s="32" t="str">
        <f t="shared" si="3"/>
        <v/>
      </c>
      <c r="L36" s="32" t="str">
        <f t="shared" si="4"/>
        <v/>
      </c>
      <c r="M36" s="1"/>
      <c r="N36" s="198" t="str">
        <f t="shared" si="0"/>
        <v>Show</v>
      </c>
      <c r="O36" s="1"/>
      <c r="P36" s="1"/>
      <c r="Q36" s="1"/>
      <c r="R36" s="1"/>
      <c r="S36" s="1"/>
      <c r="T36" s="1"/>
      <c r="U36" s="1"/>
      <c r="V36" s="98"/>
      <c r="W36" s="1"/>
      <c r="X36" s="1"/>
      <c r="Y36" s="1"/>
      <c r="Z36" s="1"/>
      <c r="AA36" s="1"/>
      <c r="AB36" s="1"/>
      <c r="AC36" s="1"/>
      <c r="AD36" s="1"/>
      <c r="AE36" s="1"/>
      <c r="AF36" s="98"/>
      <c r="AG36" s="1"/>
    </row>
    <row r="37" spans="1:33">
      <c r="A37" s="5">
        <v>2492</v>
      </c>
      <c r="B37" s="22" t="str">
        <f>INDEX(MeritBonus!$G$9:$G$500,MATCH('Performance Summary'!A37,MeritBonus!$F$9:$F$500,0))</f>
        <v>Margarita Rosas</v>
      </c>
      <c r="C37" s="22">
        <f>INDEX(MeritBonus!$L$9:$L$500,MATCH('Performance Summary'!A37,MeritBonus!$F$9:$F$500,0))</f>
        <v>11351</v>
      </c>
      <c r="D37" s="22" t="str">
        <f>INDEX(MeritBonus!$M$9:$M$500,MATCH('Performance Summary'!A37,MeritBonus!$F$9:$F$500,0))</f>
        <v>Allison Felton</v>
      </c>
      <c r="E37" s="22" t="str">
        <f>INDEX(MeritBonus!$J$9:$J$500,MATCH('Performance Summary'!A37,MeritBonus!$F$9:$F$500,0))</f>
        <v>East</v>
      </c>
      <c r="F37" s="22" t="str">
        <f>INDEX(MeritBonus!$N$9:$N$500,MATCH('Performance Summary'!A37,MeritBonus!$F$9:$F$500,0))</f>
        <v>Active</v>
      </c>
      <c r="G37" s="22" t="str">
        <f>INDEX(MeritBonus!$AG$9:$AG$500,MATCH('Performance Summary'!A37,MeritBonus!$F$9:$F$500,0))</f>
        <v>Meets</v>
      </c>
      <c r="H37" s="32" t="str">
        <f>INDEX(MeritBonus!$CV$9:$CV$500,MATCH('Performance Summary'!A37,MeritBonus!$F$9:$F$500,0))</f>
        <v>90876;99485</v>
      </c>
      <c r="I37" s="32" t="str">
        <f t="shared" si="1"/>
        <v/>
      </c>
      <c r="J37" s="32" t="str">
        <f t="shared" si="2"/>
        <v>Margarita Rosas</v>
      </c>
      <c r="K37" s="32" t="str">
        <f t="shared" si="3"/>
        <v/>
      </c>
      <c r="L37" s="32" t="str">
        <f t="shared" si="4"/>
        <v/>
      </c>
      <c r="M37" s="1"/>
      <c r="N37" s="198" t="str">
        <f t="shared" si="0"/>
        <v>Show</v>
      </c>
      <c r="O37" s="1"/>
      <c r="P37" s="1"/>
      <c r="Q37" s="1"/>
      <c r="R37" s="1"/>
      <c r="S37" s="1"/>
      <c r="T37" s="1"/>
      <c r="U37" s="1"/>
      <c r="V37" s="98"/>
      <c r="W37" s="1"/>
      <c r="X37" s="1"/>
      <c r="Y37" s="1"/>
      <c r="Z37" s="1"/>
      <c r="AA37" s="1"/>
      <c r="AB37" s="1"/>
      <c r="AC37" s="1"/>
      <c r="AD37" s="1"/>
      <c r="AE37" s="1"/>
      <c r="AF37" s="98"/>
      <c r="AG37" s="1"/>
    </row>
    <row r="38" spans="1:33">
      <c r="A38" s="5">
        <v>2549</v>
      </c>
      <c r="B38" s="22" t="str">
        <f>INDEX(MeritBonus!$G$9:$G$500,MATCH('Performance Summary'!A38,MeritBonus!$F$9:$F$500,0))</f>
        <v>Gerald Gant</v>
      </c>
      <c r="C38" s="22">
        <f>INDEX(MeritBonus!$L$9:$L$500,MATCH('Performance Summary'!A38,MeritBonus!$F$9:$F$500,0))</f>
        <v>11351</v>
      </c>
      <c r="D38" s="22" t="str">
        <f>INDEX(MeritBonus!$M$9:$M$500,MATCH('Performance Summary'!A38,MeritBonus!$F$9:$F$500,0))</f>
        <v>Allison Felton</v>
      </c>
      <c r="E38" s="22" t="str">
        <f>INDEX(MeritBonus!$J$9:$J$500,MATCH('Performance Summary'!A38,MeritBonus!$F$9:$F$500,0))</f>
        <v>East</v>
      </c>
      <c r="F38" s="22" t="str">
        <f>INDEX(MeritBonus!$N$9:$N$500,MATCH('Performance Summary'!A38,MeritBonus!$F$9:$F$500,0))</f>
        <v>Active</v>
      </c>
      <c r="G38" s="22" t="str">
        <f>INDEX(MeritBonus!$AG$9:$AG$500,MATCH('Performance Summary'!A38,MeritBonus!$F$9:$F$500,0))</f>
        <v>Meets</v>
      </c>
      <c r="H38" s="32" t="str">
        <f>INDEX(MeritBonus!$CV$9:$CV$500,MATCH('Performance Summary'!A38,MeritBonus!$F$9:$F$500,0))</f>
        <v>90876;99485</v>
      </c>
      <c r="I38" s="32" t="str">
        <f t="shared" si="1"/>
        <v/>
      </c>
      <c r="J38" s="32" t="str">
        <f t="shared" si="2"/>
        <v>Gerald Gant</v>
      </c>
      <c r="K38" s="32" t="str">
        <f t="shared" si="3"/>
        <v/>
      </c>
      <c r="L38" s="32" t="str">
        <f t="shared" si="4"/>
        <v/>
      </c>
      <c r="M38" s="1"/>
      <c r="N38" s="198" t="str">
        <f t="shared" si="0"/>
        <v>Show</v>
      </c>
      <c r="O38" s="1"/>
      <c r="P38" s="1"/>
      <c r="Q38" s="1"/>
      <c r="R38" s="1"/>
      <c r="S38" s="1"/>
      <c r="T38" s="1"/>
      <c r="U38" s="1"/>
      <c r="V38" s="98"/>
      <c r="W38" s="1"/>
      <c r="X38" s="1"/>
      <c r="Y38" s="1"/>
      <c r="Z38" s="1"/>
      <c r="AA38" s="1"/>
      <c r="AB38" s="1"/>
      <c r="AC38" s="1"/>
      <c r="AD38" s="1"/>
      <c r="AE38" s="1"/>
      <c r="AF38" s="98"/>
      <c r="AG38" s="1"/>
    </row>
    <row r="39" spans="1:33">
      <c r="A39" s="5">
        <v>2569</v>
      </c>
      <c r="B39" s="22" t="str">
        <f>INDEX(MeritBonus!$G$9:$G$500,MATCH('Performance Summary'!A39,MeritBonus!$F$9:$F$500,0))</f>
        <v>Kristine Asberry</v>
      </c>
      <c r="C39" s="22">
        <f>INDEX(MeritBonus!$L$9:$L$500,MATCH('Performance Summary'!A39,MeritBonus!$F$9:$F$500,0))</f>
        <v>11351</v>
      </c>
      <c r="D39" s="22" t="str">
        <f>INDEX(MeritBonus!$M$9:$M$500,MATCH('Performance Summary'!A39,MeritBonus!$F$9:$F$500,0))</f>
        <v>Allison Felton</v>
      </c>
      <c r="E39" s="22" t="str">
        <f>INDEX(MeritBonus!$J$9:$J$500,MATCH('Performance Summary'!A39,MeritBonus!$F$9:$F$500,0))</f>
        <v>East</v>
      </c>
      <c r="F39" s="22" t="str">
        <f>INDEX(MeritBonus!$N$9:$N$500,MATCH('Performance Summary'!A39,MeritBonus!$F$9:$F$500,0))</f>
        <v>Active</v>
      </c>
      <c r="G39" s="22" t="str">
        <f>INDEX(MeritBonus!$AG$9:$AG$500,MATCH('Performance Summary'!A39,MeritBonus!$F$9:$F$500,0))</f>
        <v>Meets</v>
      </c>
      <c r="H39" s="32" t="str">
        <f>INDEX(MeritBonus!$CV$9:$CV$500,MATCH('Performance Summary'!A39,MeritBonus!$F$9:$F$500,0))</f>
        <v>90876;99485</v>
      </c>
      <c r="I39" s="32" t="str">
        <f t="shared" si="1"/>
        <v/>
      </c>
      <c r="J39" s="32" t="str">
        <f t="shared" si="2"/>
        <v>Kristine Asberry</v>
      </c>
      <c r="K39" s="32" t="str">
        <f t="shared" si="3"/>
        <v/>
      </c>
      <c r="L39" s="32" t="str">
        <f t="shared" si="4"/>
        <v/>
      </c>
      <c r="M39" s="1"/>
      <c r="N39" s="198" t="str">
        <f t="shared" si="0"/>
        <v>Show</v>
      </c>
      <c r="O39" s="1"/>
      <c r="P39" s="1"/>
      <c r="Q39" s="1"/>
      <c r="R39" s="1"/>
      <c r="S39" s="1"/>
      <c r="T39" s="1"/>
      <c r="U39" s="1"/>
      <c r="V39" s="98"/>
      <c r="W39" s="1"/>
      <c r="X39" s="1"/>
      <c r="Y39" s="1"/>
      <c r="Z39" s="1"/>
      <c r="AA39" s="1"/>
      <c r="AB39" s="1"/>
      <c r="AC39" s="1"/>
      <c r="AD39" s="1"/>
      <c r="AE39" s="1"/>
      <c r="AF39" s="98"/>
      <c r="AG39" s="1"/>
    </row>
    <row r="40" spans="1:33">
      <c r="A40" s="5">
        <v>2583</v>
      </c>
      <c r="B40" s="22" t="str">
        <f>INDEX(MeritBonus!$G$9:$G$500,MATCH('Performance Summary'!A40,MeritBonus!$F$9:$F$500,0))</f>
        <v>Larry Lapp</v>
      </c>
      <c r="C40" s="22">
        <f>INDEX(MeritBonus!$L$9:$L$500,MATCH('Performance Summary'!A40,MeritBonus!$F$9:$F$500,0))</f>
        <v>20714</v>
      </c>
      <c r="D40" s="22" t="str">
        <f>INDEX(MeritBonus!$M$9:$M$500,MATCH('Performance Summary'!A40,MeritBonus!$F$9:$F$500,0))</f>
        <v>Robert Boatwright</v>
      </c>
      <c r="E40" s="22" t="str">
        <f>INDEX(MeritBonus!$J$9:$J$500,MATCH('Performance Summary'!A40,MeritBonus!$F$9:$F$500,0))</f>
        <v>South</v>
      </c>
      <c r="F40" s="22" t="str">
        <f>INDEX(MeritBonus!$N$9:$N$500,MATCH('Performance Summary'!A40,MeritBonus!$F$9:$F$500,0))</f>
        <v>Active</v>
      </c>
      <c r="G40" s="22" t="str">
        <f>INDEX(MeritBonus!$AG$9:$AG$500,MATCH('Performance Summary'!A40,MeritBonus!$F$9:$F$500,0))</f>
        <v>Exceeds</v>
      </c>
      <c r="H40" s="32" t="str">
        <f>INDEX(MeritBonus!$CV$9:$CV$500,MATCH('Performance Summary'!A40,MeritBonus!$F$9:$F$500,0))</f>
        <v>67890;99485</v>
      </c>
      <c r="I40" s="32" t="str">
        <f t="shared" si="1"/>
        <v>Larry Lapp</v>
      </c>
      <c r="J40" s="32" t="str">
        <f t="shared" si="2"/>
        <v/>
      </c>
      <c r="K40" s="32" t="str">
        <f t="shared" si="3"/>
        <v/>
      </c>
      <c r="L40" s="32" t="str">
        <f t="shared" si="4"/>
        <v/>
      </c>
      <c r="M40" s="1"/>
      <c r="N40" s="198" t="str">
        <f t="shared" si="0"/>
        <v>Show</v>
      </c>
      <c r="O40" s="1"/>
      <c r="P40" s="1"/>
      <c r="Q40" s="1"/>
      <c r="R40" s="1"/>
      <c r="S40" s="1"/>
      <c r="T40" s="1"/>
      <c r="U40" s="1"/>
      <c r="V40" s="98"/>
      <c r="W40" s="1"/>
      <c r="X40" s="1"/>
      <c r="Y40" s="1"/>
      <c r="Z40" s="1"/>
      <c r="AA40" s="1"/>
      <c r="AB40" s="1"/>
      <c r="AC40" s="1"/>
      <c r="AD40" s="1"/>
      <c r="AE40" s="1"/>
      <c r="AF40" s="98"/>
      <c r="AG40" s="1"/>
    </row>
    <row r="41" spans="1:33">
      <c r="A41" s="5">
        <v>2643</v>
      </c>
      <c r="B41" s="22" t="str">
        <f>INDEX(MeritBonus!$G$9:$G$500,MATCH('Performance Summary'!A41,MeritBonus!$F$9:$F$500,0))</f>
        <v>Marilyn Wolfenbarger</v>
      </c>
      <c r="C41" s="22">
        <f>INDEX(MeritBonus!$L$9:$L$500,MATCH('Performance Summary'!A41,MeritBonus!$F$9:$F$500,0))</f>
        <v>20714</v>
      </c>
      <c r="D41" s="22" t="str">
        <f>INDEX(MeritBonus!$M$9:$M$500,MATCH('Performance Summary'!A41,MeritBonus!$F$9:$F$500,0))</f>
        <v>Robert Boatwright</v>
      </c>
      <c r="E41" s="22" t="str">
        <f>INDEX(MeritBonus!$J$9:$J$500,MATCH('Performance Summary'!A41,MeritBonus!$F$9:$F$500,0))</f>
        <v>South</v>
      </c>
      <c r="F41" s="22" t="str">
        <f>INDEX(MeritBonus!$N$9:$N$500,MATCH('Performance Summary'!A41,MeritBonus!$F$9:$F$500,0))</f>
        <v>Active</v>
      </c>
      <c r="G41" s="22" t="str">
        <f>INDEX(MeritBonus!$AG$9:$AG$500,MATCH('Performance Summary'!A41,MeritBonus!$F$9:$F$500,0))</f>
        <v>Meets</v>
      </c>
      <c r="H41" s="32" t="str">
        <f>INDEX(MeritBonus!$CV$9:$CV$500,MATCH('Performance Summary'!A41,MeritBonus!$F$9:$F$500,0))</f>
        <v>67890;99485</v>
      </c>
      <c r="I41" s="32" t="str">
        <f t="shared" si="1"/>
        <v/>
      </c>
      <c r="J41" s="32" t="str">
        <f t="shared" si="2"/>
        <v>Marilyn Wolfenbarger</v>
      </c>
      <c r="K41" s="32" t="str">
        <f t="shared" si="3"/>
        <v/>
      </c>
      <c r="L41" s="32" t="str">
        <f t="shared" si="4"/>
        <v/>
      </c>
      <c r="M41" s="1"/>
      <c r="N41" s="198" t="str">
        <f t="shared" si="0"/>
        <v>Show</v>
      </c>
      <c r="O41" s="1"/>
      <c r="P41" s="1"/>
      <c r="Q41" s="1"/>
      <c r="R41" s="1"/>
      <c r="S41" s="1"/>
      <c r="T41" s="1"/>
      <c r="U41" s="1"/>
      <c r="V41" s="98"/>
      <c r="W41" s="1"/>
      <c r="X41" s="1"/>
      <c r="Y41" s="1"/>
      <c r="Z41" s="1"/>
      <c r="AA41" s="1"/>
      <c r="AB41" s="1"/>
      <c r="AC41" s="1"/>
      <c r="AD41" s="1"/>
      <c r="AE41" s="1"/>
      <c r="AF41" s="98"/>
      <c r="AG41" s="1"/>
    </row>
    <row r="42" spans="1:33">
      <c r="A42" s="5">
        <v>2667</v>
      </c>
      <c r="B42" s="22" t="str">
        <f>INDEX(MeritBonus!$G$9:$G$500,MATCH('Performance Summary'!A42,MeritBonus!$F$9:$F$500,0))</f>
        <v>Robert Cruz</v>
      </c>
      <c r="C42" s="22">
        <f>INDEX(MeritBonus!$L$9:$L$500,MATCH('Performance Summary'!A42,MeritBonus!$F$9:$F$500,0))</f>
        <v>20714</v>
      </c>
      <c r="D42" s="22" t="str">
        <f>INDEX(MeritBonus!$M$9:$M$500,MATCH('Performance Summary'!A42,MeritBonus!$F$9:$F$500,0))</f>
        <v>Robert Boatwright</v>
      </c>
      <c r="E42" s="22" t="str">
        <f>INDEX(MeritBonus!$J$9:$J$500,MATCH('Performance Summary'!A42,MeritBonus!$F$9:$F$500,0))</f>
        <v>South</v>
      </c>
      <c r="F42" s="22" t="str">
        <f>INDEX(MeritBonus!$N$9:$N$500,MATCH('Performance Summary'!A42,MeritBonus!$F$9:$F$500,0))</f>
        <v>Active</v>
      </c>
      <c r="G42" s="22" t="str">
        <f>INDEX(MeritBonus!$AG$9:$AG$500,MATCH('Performance Summary'!A42,MeritBonus!$F$9:$F$500,0))</f>
        <v>Exceeds</v>
      </c>
      <c r="H42" s="32" t="str">
        <f>INDEX(MeritBonus!$CV$9:$CV$500,MATCH('Performance Summary'!A42,MeritBonus!$F$9:$F$500,0))</f>
        <v>67890;99485</v>
      </c>
      <c r="I42" s="32" t="str">
        <f t="shared" si="1"/>
        <v>Robert Cruz</v>
      </c>
      <c r="J42" s="32" t="str">
        <f t="shared" si="2"/>
        <v/>
      </c>
      <c r="K42" s="32" t="str">
        <f t="shared" si="3"/>
        <v/>
      </c>
      <c r="L42" s="32" t="str">
        <f t="shared" si="4"/>
        <v/>
      </c>
      <c r="M42" s="1"/>
      <c r="N42" s="198" t="str">
        <f t="shared" si="0"/>
        <v>Show</v>
      </c>
      <c r="O42" s="1"/>
      <c r="P42" s="1"/>
      <c r="Q42" s="1"/>
      <c r="R42" s="1"/>
      <c r="S42" s="1"/>
      <c r="T42" s="1"/>
      <c r="U42" s="1"/>
      <c r="V42" s="98"/>
      <c r="W42" s="1"/>
      <c r="X42" s="1"/>
      <c r="Y42" s="1"/>
      <c r="Z42" s="1"/>
      <c r="AA42" s="1"/>
      <c r="AB42" s="1"/>
      <c r="AC42" s="1"/>
      <c r="AD42" s="1"/>
      <c r="AE42" s="1"/>
      <c r="AF42" s="98"/>
      <c r="AG42" s="1"/>
    </row>
    <row r="43" spans="1:33">
      <c r="A43" s="5">
        <v>2727</v>
      </c>
      <c r="B43" s="22" t="str">
        <f>INDEX(MeritBonus!$G$9:$G$500,MATCH('Performance Summary'!A43,MeritBonus!$F$9:$F$500,0))</f>
        <v>Luis Palacio</v>
      </c>
      <c r="C43" s="22">
        <f>INDEX(MeritBonus!$L$9:$L$500,MATCH('Performance Summary'!A43,MeritBonus!$F$9:$F$500,0))</f>
        <v>20714</v>
      </c>
      <c r="D43" s="22" t="str">
        <f>INDEX(MeritBonus!$M$9:$M$500,MATCH('Performance Summary'!A43,MeritBonus!$F$9:$F$500,0))</f>
        <v>Robert Boatwright</v>
      </c>
      <c r="E43" s="22" t="str">
        <f>INDEX(MeritBonus!$J$9:$J$500,MATCH('Performance Summary'!A43,MeritBonus!$F$9:$F$500,0))</f>
        <v>South</v>
      </c>
      <c r="F43" s="22" t="str">
        <f>INDEX(MeritBonus!$N$9:$N$500,MATCH('Performance Summary'!A43,MeritBonus!$F$9:$F$500,0))</f>
        <v>Active</v>
      </c>
      <c r="G43" s="22" t="str">
        <f>INDEX(MeritBonus!$AG$9:$AG$500,MATCH('Performance Summary'!A43,MeritBonus!$F$9:$F$500,0))</f>
        <v>Meets</v>
      </c>
      <c r="H43" s="32" t="str">
        <f>INDEX(MeritBonus!$CV$9:$CV$500,MATCH('Performance Summary'!A43,MeritBonus!$F$9:$F$500,0))</f>
        <v>67890;99485</v>
      </c>
      <c r="I43" s="32" t="str">
        <f t="shared" si="1"/>
        <v/>
      </c>
      <c r="J43" s="32" t="str">
        <f t="shared" si="2"/>
        <v>Luis Palacio</v>
      </c>
      <c r="K43" s="32" t="str">
        <f t="shared" si="3"/>
        <v/>
      </c>
      <c r="L43" s="32" t="str">
        <f t="shared" si="4"/>
        <v/>
      </c>
      <c r="M43" s="1"/>
      <c r="N43" s="198" t="str">
        <f t="shared" si="0"/>
        <v>Show</v>
      </c>
      <c r="O43" s="1"/>
      <c r="P43" s="1"/>
      <c r="Q43" s="1"/>
      <c r="R43" s="1"/>
      <c r="S43" s="1"/>
      <c r="T43" s="1"/>
      <c r="U43" s="1"/>
      <c r="V43" s="98"/>
      <c r="W43" s="1"/>
      <c r="X43" s="1"/>
      <c r="Y43" s="1"/>
      <c r="Z43" s="1"/>
      <c r="AA43" s="1"/>
      <c r="AB43" s="1"/>
      <c r="AC43" s="1"/>
      <c r="AD43" s="1"/>
      <c r="AE43" s="1"/>
      <c r="AF43" s="98"/>
      <c r="AG43" s="1"/>
    </row>
    <row r="44" spans="1:33">
      <c r="A44" s="5">
        <v>2750</v>
      </c>
      <c r="B44" s="22" t="str">
        <f>INDEX(MeritBonus!$G$9:$G$500,MATCH('Performance Summary'!A44,MeritBonus!$F$9:$F$500,0))</f>
        <v>Allen Huber</v>
      </c>
      <c r="C44" s="22">
        <f>INDEX(MeritBonus!$L$9:$L$500,MATCH('Performance Summary'!A44,MeritBonus!$F$9:$F$500,0))</f>
        <v>20714</v>
      </c>
      <c r="D44" s="22" t="str">
        <f>INDEX(MeritBonus!$M$9:$M$500,MATCH('Performance Summary'!A44,MeritBonus!$F$9:$F$500,0))</f>
        <v>Robert Boatwright</v>
      </c>
      <c r="E44" s="22" t="str">
        <f>INDEX(MeritBonus!$J$9:$J$500,MATCH('Performance Summary'!A44,MeritBonus!$F$9:$F$500,0))</f>
        <v>South</v>
      </c>
      <c r="F44" s="22" t="str">
        <f>INDEX(MeritBonus!$N$9:$N$500,MATCH('Performance Summary'!A44,MeritBonus!$F$9:$F$500,0))</f>
        <v>Active</v>
      </c>
      <c r="G44" s="22" t="str">
        <f>INDEX(MeritBonus!$AG$9:$AG$500,MATCH('Performance Summary'!A44,MeritBonus!$F$9:$F$500,0))</f>
        <v>Meets</v>
      </c>
      <c r="H44" s="32" t="str">
        <f>INDEX(MeritBonus!$CV$9:$CV$500,MATCH('Performance Summary'!A44,MeritBonus!$F$9:$F$500,0))</f>
        <v>67890;99485</v>
      </c>
      <c r="I44" s="32" t="str">
        <f t="shared" si="1"/>
        <v/>
      </c>
      <c r="J44" s="32" t="str">
        <f t="shared" si="2"/>
        <v>Allen Huber</v>
      </c>
      <c r="K44" s="32" t="str">
        <f t="shared" si="3"/>
        <v/>
      </c>
      <c r="L44" s="32" t="str">
        <f t="shared" si="4"/>
        <v/>
      </c>
      <c r="M44" s="1"/>
      <c r="N44" s="198" t="str">
        <f t="shared" si="0"/>
        <v>Show</v>
      </c>
      <c r="O44" s="1"/>
      <c r="P44" s="1"/>
      <c r="Q44" s="1"/>
      <c r="R44" s="1"/>
      <c r="S44" s="1"/>
      <c r="T44" s="1"/>
      <c r="U44" s="1"/>
      <c r="V44" s="98"/>
      <c r="W44" s="1"/>
      <c r="X44" s="1"/>
      <c r="Y44" s="1"/>
      <c r="Z44" s="1"/>
      <c r="AA44" s="1"/>
      <c r="AB44" s="1"/>
      <c r="AC44" s="1"/>
      <c r="AD44" s="1"/>
      <c r="AE44" s="1"/>
      <c r="AF44" s="98"/>
      <c r="AG44" s="1"/>
    </row>
    <row r="45" spans="1:33">
      <c r="A45" s="5">
        <v>2764</v>
      </c>
      <c r="B45" s="22" t="str">
        <f>INDEX(MeritBonus!$G$9:$G$500,MATCH('Performance Summary'!A45,MeritBonus!$F$9:$F$500,0))</f>
        <v>Norman Corbitt</v>
      </c>
      <c r="C45" s="22">
        <f>INDEX(MeritBonus!$L$9:$L$500,MATCH('Performance Summary'!A45,MeritBonus!$F$9:$F$500,0))</f>
        <v>20714</v>
      </c>
      <c r="D45" s="22" t="str">
        <f>INDEX(MeritBonus!$M$9:$M$500,MATCH('Performance Summary'!A45,MeritBonus!$F$9:$F$500,0))</f>
        <v>Robert Boatwright</v>
      </c>
      <c r="E45" s="22" t="str">
        <f>INDEX(MeritBonus!$J$9:$J$500,MATCH('Performance Summary'!A45,MeritBonus!$F$9:$F$500,0))</f>
        <v>West</v>
      </c>
      <c r="F45" s="22" t="str">
        <f>INDEX(MeritBonus!$N$9:$N$500,MATCH('Performance Summary'!A45,MeritBonus!$F$9:$F$500,0))</f>
        <v>Active</v>
      </c>
      <c r="G45" s="22" t="str">
        <f>INDEX(MeritBonus!$AG$9:$AG$500,MATCH('Performance Summary'!A45,MeritBonus!$F$9:$F$500,0))</f>
        <v>Meets</v>
      </c>
      <c r="H45" s="32" t="str">
        <f>INDEX(MeritBonus!$CV$9:$CV$500,MATCH('Performance Summary'!A45,MeritBonus!$F$9:$F$500,0))</f>
        <v>67890;99485</v>
      </c>
      <c r="I45" s="32" t="str">
        <f t="shared" si="1"/>
        <v/>
      </c>
      <c r="J45" s="32" t="str">
        <f t="shared" si="2"/>
        <v>Norman Corbitt</v>
      </c>
      <c r="K45" s="32" t="str">
        <f t="shared" si="3"/>
        <v/>
      </c>
      <c r="L45" s="32" t="str">
        <f t="shared" si="4"/>
        <v/>
      </c>
      <c r="M45" s="1"/>
      <c r="N45" s="198" t="str">
        <f t="shared" si="0"/>
        <v>Show</v>
      </c>
      <c r="O45" s="1"/>
      <c r="P45" s="1"/>
      <c r="Q45" s="1"/>
      <c r="R45" s="1"/>
      <c r="S45" s="1"/>
      <c r="T45" s="1"/>
      <c r="U45" s="1"/>
      <c r="V45" s="98"/>
      <c r="W45" s="1"/>
      <c r="X45" s="1"/>
      <c r="Y45" s="1"/>
      <c r="Z45" s="1"/>
      <c r="AA45" s="1"/>
      <c r="AB45" s="1"/>
      <c r="AC45" s="1"/>
      <c r="AD45" s="1"/>
      <c r="AE45" s="1"/>
      <c r="AF45" s="98"/>
      <c r="AG45" s="1"/>
    </row>
    <row r="46" spans="1:33">
      <c r="A46" s="5">
        <v>2766</v>
      </c>
      <c r="B46" s="22" t="str">
        <f>INDEX(MeritBonus!$G$9:$G$500,MATCH('Performance Summary'!A46,MeritBonus!$F$9:$F$500,0))</f>
        <v>Ralph Roller</v>
      </c>
      <c r="C46" s="22">
        <f>INDEX(MeritBonus!$L$9:$L$500,MATCH('Performance Summary'!A46,MeritBonus!$F$9:$F$500,0))</f>
        <v>20714</v>
      </c>
      <c r="D46" s="22" t="str">
        <f>INDEX(MeritBonus!$M$9:$M$500,MATCH('Performance Summary'!A46,MeritBonus!$F$9:$F$500,0))</f>
        <v>Robert Boatwright</v>
      </c>
      <c r="E46" s="22" t="str">
        <f>INDEX(MeritBonus!$J$9:$J$500,MATCH('Performance Summary'!A46,MeritBonus!$F$9:$F$500,0))</f>
        <v>South</v>
      </c>
      <c r="F46" s="22" t="str">
        <f>INDEX(MeritBonus!$N$9:$N$500,MATCH('Performance Summary'!A46,MeritBonus!$F$9:$F$500,0))</f>
        <v>Active</v>
      </c>
      <c r="G46" s="22" t="str">
        <f>INDEX(MeritBonus!$AG$9:$AG$500,MATCH('Performance Summary'!A46,MeritBonus!$F$9:$F$500,0))</f>
        <v>Meets</v>
      </c>
      <c r="H46" s="32" t="str">
        <f>INDEX(MeritBonus!$CV$9:$CV$500,MATCH('Performance Summary'!A46,MeritBonus!$F$9:$F$500,0))</f>
        <v>67890;99485</v>
      </c>
      <c r="I46" s="32" t="str">
        <f t="shared" si="1"/>
        <v/>
      </c>
      <c r="J46" s="32" t="str">
        <f t="shared" si="2"/>
        <v>Ralph Roller</v>
      </c>
      <c r="K46" s="32" t="str">
        <f t="shared" si="3"/>
        <v/>
      </c>
      <c r="L46" s="32" t="str">
        <f t="shared" si="4"/>
        <v/>
      </c>
      <c r="M46" s="1"/>
      <c r="N46" s="198" t="str">
        <f t="shared" si="0"/>
        <v>Show</v>
      </c>
      <c r="O46" s="1"/>
      <c r="P46" s="1"/>
      <c r="Q46" s="1"/>
      <c r="R46" s="1"/>
      <c r="S46" s="1"/>
      <c r="T46" s="1"/>
      <c r="U46" s="1"/>
      <c r="V46" s="98"/>
      <c r="W46" s="1"/>
      <c r="X46" s="1"/>
      <c r="Y46" s="1"/>
      <c r="Z46" s="1"/>
      <c r="AA46" s="1"/>
      <c r="AB46" s="1"/>
      <c r="AC46" s="1"/>
      <c r="AD46" s="1"/>
      <c r="AE46" s="1"/>
      <c r="AF46" s="98"/>
      <c r="AG46" s="1"/>
    </row>
    <row r="47" spans="1:33">
      <c r="A47" s="5">
        <v>2807</v>
      </c>
      <c r="B47" s="22" t="str">
        <f>INDEX(MeritBonus!$G$9:$G$500,MATCH('Performance Summary'!A47,MeritBonus!$F$9:$F$500,0))</f>
        <v>Luis Lai</v>
      </c>
      <c r="C47" s="22">
        <f>INDEX(MeritBonus!$L$9:$L$500,MATCH('Performance Summary'!A47,MeritBonus!$F$9:$F$500,0))</f>
        <v>20714</v>
      </c>
      <c r="D47" s="22" t="str">
        <f>INDEX(MeritBonus!$M$9:$M$500,MATCH('Performance Summary'!A47,MeritBonus!$F$9:$F$500,0))</f>
        <v>Robert Boatwright</v>
      </c>
      <c r="E47" s="22" t="str">
        <f>INDEX(MeritBonus!$J$9:$J$500,MATCH('Performance Summary'!A47,MeritBonus!$F$9:$F$500,0))</f>
        <v>South</v>
      </c>
      <c r="F47" s="22" t="str">
        <f>INDEX(MeritBonus!$N$9:$N$500,MATCH('Performance Summary'!A47,MeritBonus!$F$9:$F$500,0))</f>
        <v>Active</v>
      </c>
      <c r="G47" s="22" t="str">
        <f>INDEX(MeritBonus!$AG$9:$AG$500,MATCH('Performance Summary'!A47,MeritBonus!$F$9:$F$500,0))</f>
        <v>Meets</v>
      </c>
      <c r="H47" s="32" t="str">
        <f>INDEX(MeritBonus!$CV$9:$CV$500,MATCH('Performance Summary'!A47,MeritBonus!$F$9:$F$500,0))</f>
        <v>67890;99485</v>
      </c>
      <c r="I47" s="32" t="str">
        <f t="shared" si="1"/>
        <v/>
      </c>
      <c r="J47" s="32" t="str">
        <f t="shared" si="2"/>
        <v>Luis Lai</v>
      </c>
      <c r="K47" s="32" t="str">
        <f t="shared" si="3"/>
        <v/>
      </c>
      <c r="L47" s="32" t="str">
        <f t="shared" si="4"/>
        <v/>
      </c>
      <c r="M47" s="1"/>
      <c r="N47" s="198" t="str">
        <f t="shared" si="0"/>
        <v>Show</v>
      </c>
      <c r="O47" s="1"/>
      <c r="P47" s="1"/>
      <c r="Q47" s="1"/>
      <c r="R47" s="1"/>
      <c r="S47" s="1"/>
      <c r="T47" s="1"/>
      <c r="U47" s="1"/>
      <c r="V47" s="98"/>
      <c r="W47" s="1"/>
      <c r="X47" s="1"/>
      <c r="Y47" s="1"/>
      <c r="Z47" s="1"/>
      <c r="AA47" s="1"/>
      <c r="AB47" s="1"/>
      <c r="AC47" s="1"/>
      <c r="AD47" s="1"/>
      <c r="AE47" s="1"/>
      <c r="AF47" s="98"/>
      <c r="AG47" s="1"/>
    </row>
    <row r="48" spans="1:33">
      <c r="A48" s="5">
        <v>2858</v>
      </c>
      <c r="B48" s="22" t="str">
        <f>INDEX(MeritBonus!$G$9:$G$500,MATCH('Performance Summary'!A48,MeritBonus!$F$9:$F$500,0))</f>
        <v>Gary Whitehurst</v>
      </c>
      <c r="C48" s="22">
        <f>INDEX(MeritBonus!$L$9:$L$500,MATCH('Performance Summary'!A48,MeritBonus!$F$9:$F$500,0))</f>
        <v>11351</v>
      </c>
      <c r="D48" s="22" t="str">
        <f>INDEX(MeritBonus!$M$9:$M$500,MATCH('Performance Summary'!A48,MeritBonus!$F$9:$F$500,0))</f>
        <v>Allison Felton</v>
      </c>
      <c r="E48" s="22" t="str">
        <f>INDEX(MeritBonus!$J$9:$J$500,MATCH('Performance Summary'!A48,MeritBonus!$F$9:$F$500,0))</f>
        <v>East</v>
      </c>
      <c r="F48" s="22" t="str">
        <f>INDEX(MeritBonus!$N$9:$N$500,MATCH('Performance Summary'!A48,MeritBonus!$F$9:$F$500,0))</f>
        <v>Active</v>
      </c>
      <c r="G48" s="22" t="str">
        <f>INDEX(MeritBonus!$AG$9:$AG$500,MATCH('Performance Summary'!A48,MeritBonus!$F$9:$F$500,0))</f>
        <v>Exceeds</v>
      </c>
      <c r="H48" s="32" t="str">
        <f>INDEX(MeritBonus!$CV$9:$CV$500,MATCH('Performance Summary'!A48,MeritBonus!$F$9:$F$500,0))</f>
        <v>90876;99485</v>
      </c>
      <c r="I48" s="32" t="str">
        <f t="shared" si="1"/>
        <v>Gary Whitehurst</v>
      </c>
      <c r="J48" s="32" t="str">
        <f t="shared" si="2"/>
        <v/>
      </c>
      <c r="K48" s="32" t="str">
        <f t="shared" si="3"/>
        <v/>
      </c>
      <c r="L48" s="32" t="str">
        <f t="shared" si="4"/>
        <v/>
      </c>
      <c r="M48" s="1"/>
      <c r="N48" s="198" t="str">
        <f t="shared" si="0"/>
        <v>Show</v>
      </c>
      <c r="O48" s="1"/>
      <c r="P48" s="1"/>
      <c r="Q48" s="1"/>
      <c r="R48" s="1"/>
      <c r="S48" s="1"/>
      <c r="T48" s="1"/>
      <c r="U48" s="1"/>
      <c r="V48" s="98"/>
      <c r="W48" s="1"/>
      <c r="X48" s="1"/>
      <c r="Y48" s="1"/>
      <c r="Z48" s="1"/>
      <c r="AA48" s="1"/>
      <c r="AB48" s="1"/>
      <c r="AC48" s="1"/>
      <c r="AD48" s="1"/>
      <c r="AE48" s="1"/>
      <c r="AF48" s="98"/>
      <c r="AG48" s="1"/>
    </row>
    <row r="49" spans="1:33">
      <c r="A49" s="5">
        <v>2868</v>
      </c>
      <c r="B49" s="22" t="str">
        <f>INDEX(MeritBonus!$G$9:$G$500,MATCH('Performance Summary'!A49,MeritBonus!$F$9:$F$500,0))</f>
        <v>Joshua Parton</v>
      </c>
      <c r="C49" s="22">
        <f>INDEX(MeritBonus!$L$9:$L$500,MATCH('Performance Summary'!A49,MeritBonus!$F$9:$F$500,0))</f>
        <v>11351</v>
      </c>
      <c r="D49" s="22" t="str">
        <f>INDEX(MeritBonus!$M$9:$M$500,MATCH('Performance Summary'!A49,MeritBonus!$F$9:$F$500,0))</f>
        <v>Allison Felton</v>
      </c>
      <c r="E49" s="22" t="str">
        <f>INDEX(MeritBonus!$J$9:$J$500,MATCH('Performance Summary'!A49,MeritBonus!$F$9:$F$500,0))</f>
        <v>East</v>
      </c>
      <c r="F49" s="22" t="str">
        <f>INDEX(MeritBonus!$N$9:$N$500,MATCH('Performance Summary'!A49,MeritBonus!$F$9:$F$500,0))</f>
        <v>Active</v>
      </c>
      <c r="G49" s="22" t="str">
        <f>INDEX(MeritBonus!$AG$9:$AG$500,MATCH('Performance Summary'!A49,MeritBonus!$F$9:$F$500,0))</f>
        <v>Meets</v>
      </c>
      <c r="H49" s="32" t="str">
        <f>INDEX(MeritBonus!$CV$9:$CV$500,MATCH('Performance Summary'!A49,MeritBonus!$F$9:$F$500,0))</f>
        <v>90876;99485</v>
      </c>
      <c r="I49" s="32" t="str">
        <f t="shared" si="1"/>
        <v/>
      </c>
      <c r="J49" s="32" t="str">
        <f t="shared" si="2"/>
        <v>Joshua Parton</v>
      </c>
      <c r="K49" s="32" t="str">
        <f t="shared" si="3"/>
        <v/>
      </c>
      <c r="L49" s="32" t="str">
        <f t="shared" si="4"/>
        <v/>
      </c>
      <c r="M49" s="1"/>
      <c r="N49" s="198" t="str">
        <f t="shared" si="0"/>
        <v>Show</v>
      </c>
      <c r="O49" s="1"/>
      <c r="P49" s="1"/>
      <c r="Q49" s="1"/>
      <c r="R49" s="1"/>
      <c r="S49" s="1"/>
      <c r="T49" s="1"/>
      <c r="U49" s="1"/>
      <c r="V49" s="98"/>
      <c r="W49" s="1"/>
      <c r="X49" s="1"/>
      <c r="Y49" s="1"/>
      <c r="Z49" s="1"/>
      <c r="AA49" s="1"/>
      <c r="AB49" s="1"/>
      <c r="AC49" s="1"/>
      <c r="AD49" s="1"/>
      <c r="AE49" s="1"/>
      <c r="AF49" s="98"/>
      <c r="AG49" s="1"/>
    </row>
    <row r="50" spans="1:33">
      <c r="A50" s="5">
        <v>2940</v>
      </c>
      <c r="B50" s="22" t="str">
        <f>INDEX(MeritBonus!$G$9:$G$500,MATCH('Performance Summary'!A50,MeritBonus!$F$9:$F$500,0))</f>
        <v>Brian Okelley</v>
      </c>
      <c r="C50" s="22">
        <f>INDEX(MeritBonus!$L$9:$L$500,MATCH('Performance Summary'!A50,MeritBonus!$F$9:$F$500,0))</f>
        <v>20714</v>
      </c>
      <c r="D50" s="22" t="str">
        <f>INDEX(MeritBonus!$M$9:$M$500,MATCH('Performance Summary'!A50,MeritBonus!$F$9:$F$500,0))</f>
        <v>Robert Boatwright</v>
      </c>
      <c r="E50" s="22" t="str">
        <f>INDEX(MeritBonus!$J$9:$J$500,MATCH('Performance Summary'!A50,MeritBonus!$F$9:$F$500,0))</f>
        <v>South</v>
      </c>
      <c r="F50" s="22" t="str">
        <f>INDEX(MeritBonus!$N$9:$N$500,MATCH('Performance Summary'!A50,MeritBonus!$F$9:$F$500,0))</f>
        <v>Active</v>
      </c>
      <c r="G50" s="22" t="str">
        <f>INDEX(MeritBonus!$AG$9:$AG$500,MATCH('Performance Summary'!A50,MeritBonus!$F$9:$F$500,0))</f>
        <v>Meets</v>
      </c>
      <c r="H50" s="32" t="str">
        <f>INDEX(MeritBonus!$CV$9:$CV$500,MATCH('Performance Summary'!A50,MeritBonus!$F$9:$F$500,0))</f>
        <v>67890;99485</v>
      </c>
      <c r="I50" s="32" t="str">
        <f t="shared" si="1"/>
        <v/>
      </c>
      <c r="J50" s="32" t="str">
        <f t="shared" si="2"/>
        <v>Brian Okelley</v>
      </c>
      <c r="K50" s="32" t="str">
        <f t="shared" si="3"/>
        <v/>
      </c>
      <c r="L50" s="32" t="str">
        <f t="shared" si="4"/>
        <v/>
      </c>
      <c r="M50" s="1"/>
      <c r="N50" s="198" t="str">
        <f t="shared" si="0"/>
        <v>Show</v>
      </c>
      <c r="O50" s="1"/>
      <c r="P50" s="1"/>
      <c r="Q50" s="1"/>
      <c r="R50" s="1"/>
      <c r="S50" s="1"/>
      <c r="T50" s="1"/>
      <c r="U50" s="1"/>
      <c r="V50" s="98"/>
      <c r="W50" s="1"/>
      <c r="X50" s="1"/>
      <c r="Y50" s="1"/>
      <c r="Z50" s="1"/>
      <c r="AA50" s="1"/>
      <c r="AB50" s="1"/>
      <c r="AC50" s="1"/>
      <c r="AD50" s="1"/>
      <c r="AE50" s="1"/>
      <c r="AF50" s="98"/>
      <c r="AG50" s="1"/>
    </row>
    <row r="51" spans="1:33">
      <c r="A51" s="5">
        <v>2960</v>
      </c>
      <c r="B51" s="22" t="str">
        <f>INDEX(MeritBonus!$G$9:$G$500,MATCH('Performance Summary'!A51,MeritBonus!$F$9:$F$500,0))</f>
        <v>Chad Mclellan</v>
      </c>
      <c r="C51" s="22">
        <f>INDEX(MeritBonus!$L$9:$L$500,MATCH('Performance Summary'!A51,MeritBonus!$F$9:$F$500,0))</f>
        <v>20714</v>
      </c>
      <c r="D51" s="22" t="str">
        <f>INDEX(MeritBonus!$M$9:$M$500,MATCH('Performance Summary'!A51,MeritBonus!$F$9:$F$500,0))</f>
        <v>Robert Boatwright</v>
      </c>
      <c r="E51" s="22" t="str">
        <f>INDEX(MeritBonus!$J$9:$J$500,MATCH('Performance Summary'!A51,MeritBonus!$F$9:$F$500,0))</f>
        <v>South</v>
      </c>
      <c r="F51" s="22" t="str">
        <f>INDEX(MeritBonus!$N$9:$N$500,MATCH('Performance Summary'!A51,MeritBonus!$F$9:$F$500,0))</f>
        <v>Active</v>
      </c>
      <c r="G51" s="22" t="str">
        <f>INDEX(MeritBonus!$AG$9:$AG$500,MATCH('Performance Summary'!A51,MeritBonus!$F$9:$F$500,0))</f>
        <v>Meets</v>
      </c>
      <c r="H51" s="32" t="str">
        <f>INDEX(MeritBonus!$CV$9:$CV$500,MATCH('Performance Summary'!A51,MeritBonus!$F$9:$F$500,0))</f>
        <v>67890;99485</v>
      </c>
      <c r="I51" s="32" t="str">
        <f t="shared" si="1"/>
        <v/>
      </c>
      <c r="J51" s="32" t="str">
        <f t="shared" si="2"/>
        <v>Chad Mclellan</v>
      </c>
      <c r="K51" s="32" t="str">
        <f t="shared" si="3"/>
        <v/>
      </c>
      <c r="L51" s="32" t="str">
        <f t="shared" si="4"/>
        <v/>
      </c>
      <c r="M51" s="1"/>
      <c r="N51" s="198" t="str">
        <f t="shared" si="0"/>
        <v>Show</v>
      </c>
      <c r="O51" s="1"/>
      <c r="P51" s="1"/>
      <c r="Q51" s="1"/>
      <c r="R51" s="1"/>
      <c r="S51" s="1"/>
      <c r="T51" s="1"/>
      <c r="U51" s="1"/>
      <c r="V51" s="98"/>
      <c r="W51" s="1"/>
      <c r="X51" s="1"/>
      <c r="Y51" s="1"/>
      <c r="Z51" s="1"/>
      <c r="AA51" s="1"/>
      <c r="AB51" s="1"/>
      <c r="AC51" s="1"/>
      <c r="AD51" s="1"/>
      <c r="AE51" s="1"/>
      <c r="AF51" s="98"/>
      <c r="AG51" s="1"/>
    </row>
    <row r="52" spans="1:33">
      <c r="A52" s="5">
        <v>2985</v>
      </c>
      <c r="B52" s="22" t="str">
        <f>INDEX(MeritBonus!$G$9:$G$500,MATCH('Performance Summary'!A52,MeritBonus!$F$9:$F$500,0))</f>
        <v>Suzanne Witt</v>
      </c>
      <c r="C52" s="22">
        <f>INDEX(MeritBonus!$L$9:$L$500,MATCH('Performance Summary'!A52,MeritBonus!$F$9:$F$500,0))</f>
        <v>29269</v>
      </c>
      <c r="D52" s="22" t="str">
        <f>INDEX(MeritBonus!$M$9:$M$500,MATCH('Performance Summary'!A52,MeritBonus!$F$9:$F$500,0))</f>
        <v>Leonard Schell</v>
      </c>
      <c r="E52" s="22" t="str">
        <f>INDEX(MeritBonus!$J$9:$J$500,MATCH('Performance Summary'!A52,MeritBonus!$F$9:$F$500,0))</f>
        <v>West</v>
      </c>
      <c r="F52" s="22" t="str">
        <f>INDEX(MeritBonus!$N$9:$N$500,MATCH('Performance Summary'!A52,MeritBonus!$F$9:$F$500,0))</f>
        <v>Active</v>
      </c>
      <c r="G52" s="22" t="str">
        <f>INDEX(MeritBonus!$AG$9:$AG$500,MATCH('Performance Summary'!A52,MeritBonus!$F$9:$F$500,0))</f>
        <v>Meets</v>
      </c>
      <c r="H52" s="32" t="str">
        <f>INDEX(MeritBonus!$CV$9:$CV$500,MATCH('Performance Summary'!A52,MeritBonus!$F$9:$F$500,0))</f>
        <v>67890;86672</v>
      </c>
      <c r="I52" s="32" t="str">
        <f t="shared" si="1"/>
        <v/>
      </c>
      <c r="J52" s="32" t="str">
        <f t="shared" si="2"/>
        <v>Suzanne Witt</v>
      </c>
      <c r="K52" s="32" t="str">
        <f t="shared" si="3"/>
        <v/>
      </c>
      <c r="L52" s="32" t="str">
        <f t="shared" si="4"/>
        <v/>
      </c>
      <c r="M52" s="1"/>
      <c r="N52" s="198" t="str">
        <f t="shared" si="0"/>
        <v>Show</v>
      </c>
      <c r="O52" s="1"/>
      <c r="P52" s="1"/>
      <c r="Q52" s="1"/>
      <c r="R52" s="1"/>
      <c r="S52" s="1"/>
      <c r="T52" s="1"/>
      <c r="U52" s="1"/>
      <c r="V52" s="98"/>
      <c r="W52" s="1"/>
      <c r="X52" s="1"/>
      <c r="Y52" s="1"/>
      <c r="Z52" s="1"/>
      <c r="AA52" s="1"/>
      <c r="AB52" s="1"/>
      <c r="AC52" s="1"/>
      <c r="AD52" s="1"/>
      <c r="AE52" s="1"/>
      <c r="AF52" s="98"/>
      <c r="AG52" s="1"/>
    </row>
    <row r="53" spans="1:33">
      <c r="A53" s="5">
        <v>3055</v>
      </c>
      <c r="B53" s="22" t="str">
        <f>INDEX(MeritBonus!$G$9:$G$500,MATCH('Performance Summary'!A53,MeritBonus!$F$9:$F$500,0))</f>
        <v>Tara Eddy</v>
      </c>
      <c r="C53" s="22">
        <f>INDEX(MeritBonus!$L$9:$L$500,MATCH('Performance Summary'!A53,MeritBonus!$F$9:$F$500,0))</f>
        <v>29269</v>
      </c>
      <c r="D53" s="22" t="str">
        <f>INDEX(MeritBonus!$M$9:$M$500,MATCH('Performance Summary'!A53,MeritBonus!$F$9:$F$500,0))</f>
        <v>Leonard Schell</v>
      </c>
      <c r="E53" s="22" t="str">
        <f>INDEX(MeritBonus!$J$9:$J$500,MATCH('Performance Summary'!A53,MeritBonus!$F$9:$F$500,0))</f>
        <v>West</v>
      </c>
      <c r="F53" s="22" t="str">
        <f>INDEX(MeritBonus!$N$9:$N$500,MATCH('Performance Summary'!A53,MeritBonus!$F$9:$F$500,0))</f>
        <v>Active</v>
      </c>
      <c r="G53" s="22" t="str">
        <f>INDEX(MeritBonus!$AG$9:$AG$500,MATCH('Performance Summary'!A53,MeritBonus!$F$9:$F$500,0))</f>
        <v>Meets</v>
      </c>
      <c r="H53" s="32" t="str">
        <f>INDEX(MeritBonus!$CV$9:$CV$500,MATCH('Performance Summary'!A53,MeritBonus!$F$9:$F$500,0))</f>
        <v>67890;86672</v>
      </c>
      <c r="I53" s="32" t="str">
        <f t="shared" si="1"/>
        <v/>
      </c>
      <c r="J53" s="32" t="str">
        <f t="shared" si="2"/>
        <v>Tara Eddy</v>
      </c>
      <c r="K53" s="32" t="str">
        <f t="shared" si="3"/>
        <v/>
      </c>
      <c r="L53" s="32" t="str">
        <f t="shared" si="4"/>
        <v/>
      </c>
      <c r="M53" s="1"/>
      <c r="N53" s="198" t="str">
        <f t="shared" si="0"/>
        <v>Show</v>
      </c>
      <c r="O53" s="1"/>
      <c r="P53" s="1"/>
      <c r="Q53" s="1"/>
      <c r="R53" s="1"/>
      <c r="S53" s="1"/>
      <c r="T53" s="1"/>
      <c r="U53" s="1"/>
      <c r="V53" s="98"/>
      <c r="W53" s="1"/>
      <c r="X53" s="1"/>
      <c r="Y53" s="1"/>
      <c r="Z53" s="1"/>
      <c r="AA53" s="1"/>
      <c r="AB53" s="1"/>
      <c r="AC53" s="1"/>
      <c r="AD53" s="1"/>
      <c r="AE53" s="1"/>
      <c r="AF53" s="98"/>
      <c r="AG53" s="1"/>
    </row>
    <row r="54" spans="1:33">
      <c r="A54" s="5">
        <v>3059</v>
      </c>
      <c r="B54" s="22" t="str">
        <f>INDEX(MeritBonus!$G$9:$G$500,MATCH('Performance Summary'!A54,MeritBonus!$F$9:$F$500,0))</f>
        <v>Wayne Wilson</v>
      </c>
      <c r="C54" s="22">
        <f>INDEX(MeritBonus!$L$9:$L$500,MATCH('Performance Summary'!A54,MeritBonus!$F$9:$F$500,0))</f>
        <v>29269</v>
      </c>
      <c r="D54" s="22" t="str">
        <f>INDEX(MeritBonus!$M$9:$M$500,MATCH('Performance Summary'!A54,MeritBonus!$F$9:$F$500,0))</f>
        <v>Leonard Schell</v>
      </c>
      <c r="E54" s="22" t="str">
        <f>INDEX(MeritBonus!$J$9:$J$500,MATCH('Performance Summary'!A54,MeritBonus!$F$9:$F$500,0))</f>
        <v>West</v>
      </c>
      <c r="F54" s="22" t="str">
        <f>INDEX(MeritBonus!$N$9:$N$500,MATCH('Performance Summary'!A54,MeritBonus!$F$9:$F$500,0))</f>
        <v>Active</v>
      </c>
      <c r="G54" s="22" t="str">
        <f>INDEX(MeritBonus!$AG$9:$AG$500,MATCH('Performance Summary'!A54,MeritBonus!$F$9:$F$500,0))</f>
        <v>Meets</v>
      </c>
      <c r="H54" s="32" t="str">
        <f>INDEX(MeritBonus!$CV$9:$CV$500,MATCH('Performance Summary'!A54,MeritBonus!$F$9:$F$500,0))</f>
        <v>67890;86672</v>
      </c>
      <c r="I54" s="32" t="str">
        <f t="shared" si="1"/>
        <v/>
      </c>
      <c r="J54" s="32" t="str">
        <f t="shared" si="2"/>
        <v>Wayne Wilson</v>
      </c>
      <c r="K54" s="32" t="str">
        <f t="shared" si="3"/>
        <v/>
      </c>
      <c r="L54" s="32" t="str">
        <f t="shared" si="4"/>
        <v/>
      </c>
      <c r="M54" s="1"/>
      <c r="N54" s="198" t="str">
        <f t="shared" si="0"/>
        <v>Show</v>
      </c>
      <c r="O54" s="1"/>
      <c r="P54" s="1"/>
      <c r="Q54" s="1"/>
      <c r="R54" s="1"/>
      <c r="S54" s="1"/>
      <c r="T54" s="1"/>
      <c r="U54" s="1"/>
      <c r="V54" s="98"/>
      <c r="W54" s="1"/>
      <c r="X54" s="1"/>
      <c r="Y54" s="1"/>
      <c r="Z54" s="1"/>
      <c r="AA54" s="1"/>
      <c r="AB54" s="1"/>
      <c r="AC54" s="1"/>
      <c r="AD54" s="1"/>
      <c r="AE54" s="1"/>
      <c r="AF54" s="98"/>
      <c r="AG54" s="1"/>
    </row>
    <row r="55" spans="1:33">
      <c r="A55" s="5">
        <v>3255</v>
      </c>
      <c r="B55" s="22" t="str">
        <f>INDEX(MeritBonus!$G$9:$G$500,MATCH('Performance Summary'!A55,MeritBonus!$F$9:$F$500,0))</f>
        <v>Joann Worsham</v>
      </c>
      <c r="C55" s="22">
        <f>INDEX(MeritBonus!$L$9:$L$500,MATCH('Performance Summary'!A55,MeritBonus!$F$9:$F$500,0))</f>
        <v>11498</v>
      </c>
      <c r="D55" s="22" t="str">
        <f>INDEX(MeritBonus!$M$9:$M$500,MATCH('Performance Summary'!A55,MeritBonus!$F$9:$F$500,0))</f>
        <v>John Jaworski</v>
      </c>
      <c r="E55" s="22" t="str">
        <f>INDEX(MeritBonus!$J$9:$J$500,MATCH('Performance Summary'!A55,MeritBonus!$F$9:$F$500,0))</f>
        <v>South</v>
      </c>
      <c r="F55" s="22" t="str">
        <f>INDEX(MeritBonus!$N$9:$N$500,MATCH('Performance Summary'!A55,MeritBonus!$F$9:$F$500,0))</f>
        <v>Active</v>
      </c>
      <c r="G55" s="22" t="str">
        <f>INDEX(MeritBonus!$AG$9:$AG$500,MATCH('Performance Summary'!A55,MeritBonus!$F$9:$F$500,0))</f>
        <v>Meets</v>
      </c>
      <c r="H55" s="32" t="str">
        <f>INDEX(MeritBonus!$CV$9:$CV$500,MATCH('Performance Summary'!A55,MeritBonus!$F$9:$F$500,0))</f>
        <v>99485;36523</v>
      </c>
      <c r="I55" s="32" t="str">
        <f t="shared" si="1"/>
        <v/>
      </c>
      <c r="J55" s="32" t="str">
        <f t="shared" si="2"/>
        <v>Joann Worsham</v>
      </c>
      <c r="K55" s="32" t="str">
        <f t="shared" si="3"/>
        <v/>
      </c>
      <c r="L55" s="32" t="str">
        <f t="shared" si="4"/>
        <v/>
      </c>
      <c r="M55" s="1"/>
      <c r="N55" s="198" t="str">
        <f t="shared" si="0"/>
        <v>Show</v>
      </c>
      <c r="O55" s="1"/>
      <c r="P55" s="1"/>
      <c r="Q55" s="1"/>
      <c r="R55" s="1"/>
      <c r="S55" s="1"/>
      <c r="T55" s="1"/>
      <c r="U55" s="1"/>
      <c r="V55" s="98"/>
      <c r="W55" s="1"/>
      <c r="X55" s="1"/>
      <c r="Y55" s="1"/>
      <c r="Z55" s="1"/>
      <c r="AA55" s="1"/>
      <c r="AB55" s="1"/>
      <c r="AC55" s="1"/>
      <c r="AD55" s="1"/>
      <c r="AE55" s="1"/>
      <c r="AF55" s="98"/>
      <c r="AG55" s="1"/>
    </row>
    <row r="56" spans="1:33">
      <c r="A56" s="5">
        <v>3265</v>
      </c>
      <c r="B56" s="22" t="str">
        <f>INDEX(MeritBonus!$G$9:$G$500,MATCH('Performance Summary'!A56,MeritBonus!$F$9:$F$500,0))</f>
        <v>Clarence Maya</v>
      </c>
      <c r="C56" s="22">
        <f>INDEX(MeritBonus!$L$9:$L$500,MATCH('Performance Summary'!A56,MeritBonus!$F$9:$F$500,0))</f>
        <v>11498</v>
      </c>
      <c r="D56" s="22" t="str">
        <f>INDEX(MeritBonus!$M$9:$M$500,MATCH('Performance Summary'!A56,MeritBonus!$F$9:$F$500,0))</f>
        <v>John Jaworski</v>
      </c>
      <c r="E56" s="22" t="str">
        <f>INDEX(MeritBonus!$J$9:$J$500,MATCH('Performance Summary'!A56,MeritBonus!$F$9:$F$500,0))</f>
        <v>South</v>
      </c>
      <c r="F56" s="22" t="str">
        <f>INDEX(MeritBonus!$N$9:$N$500,MATCH('Performance Summary'!A56,MeritBonus!$F$9:$F$500,0))</f>
        <v>Active</v>
      </c>
      <c r="G56" s="22" t="str">
        <f>INDEX(MeritBonus!$AG$9:$AG$500,MATCH('Performance Summary'!A56,MeritBonus!$F$9:$F$500,0))</f>
        <v>Meets</v>
      </c>
      <c r="H56" s="32" t="str">
        <f>INDEX(MeritBonus!$CV$9:$CV$500,MATCH('Performance Summary'!A56,MeritBonus!$F$9:$F$500,0))</f>
        <v>99485;36523</v>
      </c>
      <c r="I56" s="32" t="str">
        <f t="shared" si="1"/>
        <v/>
      </c>
      <c r="J56" s="32" t="str">
        <f t="shared" si="2"/>
        <v>Clarence Maya</v>
      </c>
      <c r="K56" s="32" t="str">
        <f t="shared" si="3"/>
        <v/>
      </c>
      <c r="L56" s="32" t="str">
        <f t="shared" si="4"/>
        <v/>
      </c>
      <c r="M56" s="1"/>
      <c r="N56" s="198" t="str">
        <f t="shared" si="0"/>
        <v>Show</v>
      </c>
      <c r="O56" s="1"/>
      <c r="P56" s="1"/>
      <c r="Q56" s="1"/>
      <c r="R56" s="1"/>
      <c r="S56" s="1"/>
      <c r="T56" s="1"/>
      <c r="U56" s="1"/>
      <c r="V56" s="98"/>
      <c r="W56" s="1"/>
      <c r="X56" s="1"/>
      <c r="Y56" s="1"/>
      <c r="Z56" s="1"/>
      <c r="AA56" s="1"/>
      <c r="AB56" s="1"/>
      <c r="AC56" s="1"/>
      <c r="AD56" s="1"/>
      <c r="AE56" s="1"/>
      <c r="AF56" s="98"/>
      <c r="AG56" s="1"/>
    </row>
    <row r="57" spans="1:33">
      <c r="A57" s="5">
        <v>3272</v>
      </c>
      <c r="B57" s="22" t="str">
        <f>INDEX(MeritBonus!$G$9:$G$500,MATCH('Performance Summary'!A57,MeritBonus!$F$9:$F$500,0))</f>
        <v>Molly Aucoin</v>
      </c>
      <c r="C57" s="22">
        <f>INDEX(MeritBonus!$L$9:$L$500,MATCH('Performance Summary'!A57,MeritBonus!$F$9:$F$500,0))</f>
        <v>11351</v>
      </c>
      <c r="D57" s="22" t="str">
        <f>INDEX(MeritBonus!$M$9:$M$500,MATCH('Performance Summary'!A57,MeritBonus!$F$9:$F$500,0))</f>
        <v>Allison Felton</v>
      </c>
      <c r="E57" s="22" t="str">
        <f>INDEX(MeritBonus!$J$9:$J$500,MATCH('Performance Summary'!A57,MeritBonus!$F$9:$F$500,0))</f>
        <v>East</v>
      </c>
      <c r="F57" s="22" t="str">
        <f>INDEX(MeritBonus!$N$9:$N$500,MATCH('Performance Summary'!A57,MeritBonus!$F$9:$F$500,0))</f>
        <v>Active</v>
      </c>
      <c r="G57" s="22" t="str">
        <f>INDEX(MeritBonus!$AG$9:$AG$500,MATCH('Performance Summary'!A57,MeritBonus!$F$9:$F$500,0))</f>
        <v>Meets</v>
      </c>
      <c r="H57" s="32" t="str">
        <f>INDEX(MeritBonus!$CV$9:$CV$500,MATCH('Performance Summary'!A57,MeritBonus!$F$9:$F$500,0))</f>
        <v>90876;99485</v>
      </c>
      <c r="I57" s="32" t="str">
        <f t="shared" si="1"/>
        <v/>
      </c>
      <c r="J57" s="32" t="str">
        <f t="shared" si="2"/>
        <v>Molly Aucoin</v>
      </c>
      <c r="K57" s="32" t="str">
        <f t="shared" si="3"/>
        <v/>
      </c>
      <c r="L57" s="32" t="str">
        <f t="shared" si="4"/>
        <v/>
      </c>
      <c r="M57" s="1"/>
      <c r="N57" s="198" t="str">
        <f t="shared" si="0"/>
        <v>Show</v>
      </c>
      <c r="O57" s="1"/>
      <c r="P57" s="1"/>
      <c r="Q57" s="1"/>
      <c r="R57" s="1"/>
      <c r="S57" s="1"/>
      <c r="T57" s="1"/>
      <c r="U57" s="1"/>
      <c r="V57" s="98"/>
      <c r="W57" s="1"/>
      <c r="X57" s="1"/>
      <c r="Y57" s="1"/>
      <c r="Z57" s="1"/>
      <c r="AA57" s="1"/>
      <c r="AB57" s="1"/>
      <c r="AC57" s="1"/>
      <c r="AD57" s="1"/>
      <c r="AE57" s="1"/>
      <c r="AF57" s="98"/>
      <c r="AG57" s="1"/>
    </row>
    <row r="58" spans="1:33">
      <c r="A58" s="5">
        <v>3282</v>
      </c>
      <c r="B58" s="22" t="str">
        <f>INDEX(MeritBonus!$G$9:$G$500,MATCH('Performance Summary'!A58,MeritBonus!$F$9:$F$500,0))</f>
        <v>Patsy Bey</v>
      </c>
      <c r="C58" s="22">
        <f>INDEX(MeritBonus!$L$9:$L$500,MATCH('Performance Summary'!A58,MeritBonus!$F$9:$F$500,0))</f>
        <v>11498</v>
      </c>
      <c r="D58" s="22" t="str">
        <f>INDEX(MeritBonus!$M$9:$M$500,MATCH('Performance Summary'!A58,MeritBonus!$F$9:$F$500,0))</f>
        <v>John Jaworski</v>
      </c>
      <c r="E58" s="22" t="str">
        <f>INDEX(MeritBonus!$J$9:$J$500,MATCH('Performance Summary'!A58,MeritBonus!$F$9:$F$500,0))</f>
        <v>South</v>
      </c>
      <c r="F58" s="22" t="str">
        <f>INDEX(MeritBonus!$N$9:$N$500,MATCH('Performance Summary'!A58,MeritBonus!$F$9:$F$500,0))</f>
        <v>Active</v>
      </c>
      <c r="G58" s="22" t="str">
        <f>INDEX(MeritBonus!$AG$9:$AG$500,MATCH('Performance Summary'!A58,MeritBonus!$F$9:$F$500,0))</f>
        <v>Exceeds</v>
      </c>
      <c r="H58" s="32" t="str">
        <f>INDEX(MeritBonus!$CV$9:$CV$500,MATCH('Performance Summary'!A58,MeritBonus!$F$9:$F$500,0))</f>
        <v>99485;36523</v>
      </c>
      <c r="I58" s="32" t="str">
        <f t="shared" si="1"/>
        <v>Patsy Bey</v>
      </c>
      <c r="J58" s="32" t="str">
        <f t="shared" si="2"/>
        <v/>
      </c>
      <c r="K58" s="32" t="str">
        <f t="shared" si="3"/>
        <v/>
      </c>
      <c r="L58" s="32" t="str">
        <f t="shared" si="4"/>
        <v/>
      </c>
      <c r="M58" s="1"/>
      <c r="N58" s="198" t="str">
        <f t="shared" si="0"/>
        <v>Show</v>
      </c>
      <c r="O58" s="1"/>
      <c r="P58" s="1"/>
      <c r="Q58" s="1"/>
      <c r="R58" s="1"/>
      <c r="S58" s="1"/>
      <c r="T58" s="1"/>
      <c r="U58" s="1"/>
      <c r="V58" s="98"/>
      <c r="W58" s="1"/>
      <c r="X58" s="1"/>
      <c r="Y58" s="1"/>
      <c r="Z58" s="1"/>
      <c r="AA58" s="1"/>
      <c r="AB58" s="1"/>
      <c r="AC58" s="1"/>
      <c r="AD58" s="1"/>
      <c r="AE58" s="1"/>
      <c r="AF58" s="98"/>
      <c r="AG58" s="1"/>
    </row>
    <row r="59" spans="1:33">
      <c r="A59" s="5">
        <v>3284</v>
      </c>
      <c r="B59" s="22" t="str">
        <f>INDEX(MeritBonus!$G$9:$G$500,MATCH('Performance Summary'!A59,MeritBonus!$F$9:$F$500,0))</f>
        <v>Eric Barros</v>
      </c>
      <c r="C59" s="22">
        <f>INDEX(MeritBonus!$L$9:$L$500,MATCH('Performance Summary'!A59,MeritBonus!$F$9:$F$500,0))</f>
        <v>20714</v>
      </c>
      <c r="D59" s="22" t="str">
        <f>INDEX(MeritBonus!$M$9:$M$500,MATCH('Performance Summary'!A59,MeritBonus!$F$9:$F$500,0))</f>
        <v>Robert Boatwright</v>
      </c>
      <c r="E59" s="22" t="str">
        <f>INDEX(MeritBonus!$J$9:$J$500,MATCH('Performance Summary'!A59,MeritBonus!$F$9:$F$500,0))</f>
        <v>South</v>
      </c>
      <c r="F59" s="22" t="str">
        <f>INDEX(MeritBonus!$N$9:$N$500,MATCH('Performance Summary'!A59,MeritBonus!$F$9:$F$500,0))</f>
        <v>Active</v>
      </c>
      <c r="G59" s="22" t="str">
        <f>INDEX(MeritBonus!$AG$9:$AG$500,MATCH('Performance Summary'!A59,MeritBonus!$F$9:$F$500,0))</f>
        <v>Meets</v>
      </c>
      <c r="H59" s="32" t="str">
        <f>INDEX(MeritBonus!$CV$9:$CV$500,MATCH('Performance Summary'!A59,MeritBonus!$F$9:$F$500,0))</f>
        <v>67890;99485</v>
      </c>
      <c r="I59" s="32" t="str">
        <f t="shared" si="1"/>
        <v/>
      </c>
      <c r="J59" s="32" t="str">
        <f t="shared" si="2"/>
        <v>Eric Barros</v>
      </c>
      <c r="K59" s="32" t="str">
        <f t="shared" si="3"/>
        <v/>
      </c>
      <c r="L59" s="32" t="str">
        <f t="shared" si="4"/>
        <v/>
      </c>
      <c r="M59" s="1"/>
      <c r="N59" s="198" t="str">
        <f t="shared" si="0"/>
        <v>Show</v>
      </c>
      <c r="O59" s="1"/>
      <c r="P59" s="1"/>
      <c r="Q59" s="1"/>
      <c r="R59" s="1"/>
      <c r="S59" s="1"/>
      <c r="T59" s="1"/>
      <c r="U59" s="1"/>
      <c r="V59" s="98"/>
      <c r="W59" s="1"/>
      <c r="X59" s="1"/>
      <c r="Y59" s="1"/>
      <c r="Z59" s="1"/>
      <c r="AA59" s="1"/>
      <c r="AB59" s="1"/>
      <c r="AC59" s="1"/>
      <c r="AD59" s="1"/>
      <c r="AE59" s="1"/>
      <c r="AF59" s="98"/>
      <c r="AG59" s="1"/>
    </row>
    <row r="60" spans="1:33">
      <c r="A60" s="5">
        <v>3300</v>
      </c>
      <c r="B60" s="22" t="str">
        <f>INDEX(MeritBonus!$G$9:$G$500,MATCH('Performance Summary'!A60,MeritBonus!$F$9:$F$500,0))</f>
        <v>Paul Raley</v>
      </c>
      <c r="C60" s="22">
        <f>INDEX(MeritBonus!$L$9:$L$500,MATCH('Performance Summary'!A60,MeritBonus!$F$9:$F$500,0))</f>
        <v>11498</v>
      </c>
      <c r="D60" s="22" t="str">
        <f>INDEX(MeritBonus!$M$9:$M$500,MATCH('Performance Summary'!A60,MeritBonus!$F$9:$F$500,0))</f>
        <v>John Jaworski</v>
      </c>
      <c r="E60" s="22" t="str">
        <f>INDEX(MeritBonus!$J$9:$J$500,MATCH('Performance Summary'!A60,MeritBonus!$F$9:$F$500,0))</f>
        <v>South</v>
      </c>
      <c r="F60" s="22" t="str">
        <f>INDEX(MeritBonus!$N$9:$N$500,MATCH('Performance Summary'!A60,MeritBonus!$F$9:$F$500,0))</f>
        <v>Active</v>
      </c>
      <c r="G60" s="22" t="str">
        <f>INDEX(MeritBonus!$AG$9:$AG$500,MATCH('Performance Summary'!A60,MeritBonus!$F$9:$F$500,0))</f>
        <v>Meets</v>
      </c>
      <c r="H60" s="32" t="str">
        <f>INDEX(MeritBonus!$CV$9:$CV$500,MATCH('Performance Summary'!A60,MeritBonus!$F$9:$F$500,0))</f>
        <v>99485;36523</v>
      </c>
      <c r="I60" s="32" t="str">
        <f t="shared" si="1"/>
        <v/>
      </c>
      <c r="J60" s="32" t="str">
        <f t="shared" si="2"/>
        <v>Paul Raley</v>
      </c>
      <c r="K60" s="32" t="str">
        <f t="shared" si="3"/>
        <v/>
      </c>
      <c r="L60" s="32" t="str">
        <f t="shared" si="4"/>
        <v/>
      </c>
      <c r="M60" s="1"/>
      <c r="N60" s="198" t="str">
        <f t="shared" si="0"/>
        <v>Show</v>
      </c>
      <c r="O60" s="1"/>
      <c r="P60" s="1"/>
      <c r="Q60" s="1"/>
      <c r="R60" s="1"/>
      <c r="S60" s="1"/>
      <c r="T60" s="1"/>
      <c r="U60" s="1"/>
      <c r="V60" s="98"/>
      <c r="W60" s="1"/>
      <c r="X60" s="1"/>
      <c r="Y60" s="1"/>
      <c r="Z60" s="1"/>
      <c r="AA60" s="1"/>
      <c r="AB60" s="1"/>
      <c r="AC60" s="1"/>
      <c r="AD60" s="1"/>
      <c r="AE60" s="1"/>
      <c r="AF60" s="98"/>
      <c r="AG60" s="1"/>
    </row>
    <row r="61" spans="1:33">
      <c r="A61" s="5">
        <v>3343</v>
      </c>
      <c r="B61" s="22" t="str">
        <f>INDEX(MeritBonus!$G$9:$G$500,MATCH('Performance Summary'!A61,MeritBonus!$F$9:$F$500,0))</f>
        <v>Leonard Lennox</v>
      </c>
      <c r="C61" s="22">
        <f>INDEX(MeritBonus!$L$9:$L$500,MATCH('Performance Summary'!A61,MeritBonus!$F$9:$F$500,0))</f>
        <v>11498</v>
      </c>
      <c r="D61" s="22" t="str">
        <f>INDEX(MeritBonus!$M$9:$M$500,MATCH('Performance Summary'!A61,MeritBonus!$F$9:$F$500,0))</f>
        <v>John Jaworski</v>
      </c>
      <c r="E61" s="22" t="str">
        <f>INDEX(MeritBonus!$J$9:$J$500,MATCH('Performance Summary'!A61,MeritBonus!$F$9:$F$500,0))</f>
        <v>South</v>
      </c>
      <c r="F61" s="22" t="str">
        <f>INDEX(MeritBonus!$N$9:$N$500,MATCH('Performance Summary'!A61,MeritBonus!$F$9:$F$500,0))</f>
        <v>Active</v>
      </c>
      <c r="G61" s="22" t="str">
        <f>INDEX(MeritBonus!$AG$9:$AG$500,MATCH('Performance Summary'!A61,MeritBonus!$F$9:$F$500,0))</f>
        <v>Meets</v>
      </c>
      <c r="H61" s="32" t="str">
        <f>INDEX(MeritBonus!$CV$9:$CV$500,MATCH('Performance Summary'!A61,MeritBonus!$F$9:$F$500,0))</f>
        <v>99485;36523</v>
      </c>
      <c r="I61" s="32" t="str">
        <f t="shared" si="1"/>
        <v/>
      </c>
      <c r="J61" s="32" t="str">
        <f t="shared" si="2"/>
        <v>Leonard Lennox</v>
      </c>
      <c r="K61" s="32" t="str">
        <f t="shared" si="3"/>
        <v/>
      </c>
      <c r="L61" s="32" t="str">
        <f t="shared" si="4"/>
        <v/>
      </c>
      <c r="M61" s="1"/>
      <c r="N61" s="198" t="str">
        <f t="shared" si="0"/>
        <v>Show</v>
      </c>
      <c r="O61" s="1"/>
      <c r="P61" s="1"/>
      <c r="Q61" s="1"/>
      <c r="R61" s="1"/>
      <c r="S61" s="1"/>
      <c r="T61" s="1"/>
      <c r="U61" s="1"/>
      <c r="V61" s="98"/>
      <c r="W61" s="1"/>
      <c r="X61" s="1"/>
      <c r="Y61" s="1"/>
      <c r="Z61" s="1"/>
      <c r="AA61" s="1"/>
      <c r="AB61" s="1"/>
      <c r="AC61" s="1"/>
      <c r="AD61" s="1"/>
      <c r="AE61" s="1"/>
      <c r="AF61" s="98"/>
      <c r="AG61" s="1"/>
    </row>
    <row r="62" spans="1:33">
      <c r="A62" s="5">
        <v>3351</v>
      </c>
      <c r="B62" s="22" t="str">
        <f>INDEX(MeritBonus!$G$9:$G$500,MATCH('Performance Summary'!A62,MeritBonus!$F$9:$F$500,0))</f>
        <v>Aaron Slone</v>
      </c>
      <c r="C62" s="22">
        <f>INDEX(MeritBonus!$L$9:$L$500,MATCH('Performance Summary'!A62,MeritBonus!$F$9:$F$500,0))</f>
        <v>11308</v>
      </c>
      <c r="D62" s="22" t="str">
        <f>INDEX(MeritBonus!$M$9:$M$500,MATCH('Performance Summary'!A62,MeritBonus!$F$9:$F$500,0))</f>
        <v>Todd Falco</v>
      </c>
      <c r="E62" s="22" t="str">
        <f>INDEX(MeritBonus!$J$9:$J$500,MATCH('Performance Summary'!A62,MeritBonus!$F$9:$F$500,0))</f>
        <v>East</v>
      </c>
      <c r="F62" s="22" t="str">
        <f>INDEX(MeritBonus!$N$9:$N$500,MATCH('Performance Summary'!A62,MeritBonus!$F$9:$F$500,0))</f>
        <v>Active</v>
      </c>
      <c r="G62" s="22" t="str">
        <f>INDEX(MeritBonus!$AG$9:$AG$500,MATCH('Performance Summary'!A62,MeritBonus!$F$9:$F$500,0))</f>
        <v>Below</v>
      </c>
      <c r="H62" s="32" t="str">
        <f>INDEX(MeritBonus!$CV$9:$CV$500,MATCH('Performance Summary'!A62,MeritBonus!$F$9:$F$500,0))</f>
        <v>67890;99485</v>
      </c>
      <c r="I62" s="32" t="str">
        <f t="shared" si="1"/>
        <v/>
      </c>
      <c r="J62" s="32" t="str">
        <f t="shared" si="2"/>
        <v/>
      </c>
      <c r="K62" s="32" t="str">
        <f t="shared" si="3"/>
        <v>Aaron Slone</v>
      </c>
      <c r="L62" s="32" t="str">
        <f t="shared" si="4"/>
        <v/>
      </c>
      <c r="M62" s="1"/>
      <c r="N62" s="198" t="str">
        <f t="shared" si="0"/>
        <v>Show</v>
      </c>
      <c r="O62" s="1"/>
      <c r="P62" s="1"/>
      <c r="Q62" s="1"/>
      <c r="R62" s="1"/>
      <c r="S62" s="1"/>
      <c r="T62" s="1"/>
      <c r="U62" s="1"/>
      <c r="V62" s="98"/>
      <c r="W62" s="1"/>
      <c r="X62" s="1"/>
      <c r="Y62" s="1"/>
      <c r="Z62" s="1"/>
      <c r="AA62" s="1"/>
      <c r="AB62" s="1"/>
      <c r="AC62" s="1"/>
      <c r="AD62" s="1"/>
      <c r="AE62" s="1"/>
      <c r="AF62" s="98"/>
      <c r="AG62" s="1"/>
    </row>
    <row r="63" spans="1:33">
      <c r="A63" s="5">
        <v>3383</v>
      </c>
      <c r="B63" s="22" t="str">
        <f>INDEX(MeritBonus!$G$9:$G$500,MATCH('Performance Summary'!A63,MeritBonus!$F$9:$F$500,0))</f>
        <v>William Drye</v>
      </c>
      <c r="C63" s="22">
        <f>INDEX(MeritBonus!$L$9:$L$500,MATCH('Performance Summary'!A63,MeritBonus!$F$9:$F$500,0))</f>
        <v>11351</v>
      </c>
      <c r="D63" s="22" t="str">
        <f>INDEX(MeritBonus!$M$9:$M$500,MATCH('Performance Summary'!A63,MeritBonus!$F$9:$F$500,0))</f>
        <v>Allison Felton</v>
      </c>
      <c r="E63" s="22" t="str">
        <f>INDEX(MeritBonus!$J$9:$J$500,MATCH('Performance Summary'!A63,MeritBonus!$F$9:$F$500,0))</f>
        <v>East</v>
      </c>
      <c r="F63" s="22" t="str">
        <f>INDEX(MeritBonus!$N$9:$N$500,MATCH('Performance Summary'!A63,MeritBonus!$F$9:$F$500,0))</f>
        <v>Active</v>
      </c>
      <c r="G63" s="22" t="str">
        <f>INDEX(MeritBonus!$AG$9:$AG$500,MATCH('Performance Summary'!A63,MeritBonus!$F$9:$F$500,0))</f>
        <v>Exceeds</v>
      </c>
      <c r="H63" s="32" t="str">
        <f>INDEX(MeritBonus!$CV$9:$CV$500,MATCH('Performance Summary'!A63,MeritBonus!$F$9:$F$500,0))</f>
        <v>90876;99485</v>
      </c>
      <c r="I63" s="32" t="str">
        <f t="shared" si="1"/>
        <v>William Drye</v>
      </c>
      <c r="J63" s="32" t="str">
        <f t="shared" si="2"/>
        <v/>
      </c>
      <c r="K63" s="32" t="str">
        <f t="shared" si="3"/>
        <v/>
      </c>
      <c r="L63" s="32" t="str">
        <f t="shared" si="4"/>
        <v/>
      </c>
      <c r="M63" s="1"/>
      <c r="N63" s="198" t="str">
        <f t="shared" si="0"/>
        <v>Show</v>
      </c>
      <c r="O63" s="1"/>
      <c r="P63" s="1"/>
      <c r="Q63" s="1"/>
      <c r="R63" s="1"/>
      <c r="S63" s="1"/>
      <c r="T63" s="1"/>
      <c r="U63" s="1"/>
      <c r="V63" s="98"/>
      <c r="W63" s="1"/>
      <c r="X63" s="1"/>
      <c r="Y63" s="1"/>
      <c r="Z63" s="1"/>
      <c r="AA63" s="1"/>
      <c r="AB63" s="1"/>
      <c r="AC63" s="1"/>
      <c r="AD63" s="1"/>
      <c r="AE63" s="1"/>
      <c r="AF63" s="98"/>
      <c r="AG63" s="1"/>
    </row>
    <row r="64" spans="1:33">
      <c r="A64" s="5">
        <v>3393</v>
      </c>
      <c r="B64" s="22" t="str">
        <f>INDEX(MeritBonus!$G$9:$G$500,MATCH('Performance Summary'!A64,MeritBonus!$F$9:$F$500,0))</f>
        <v>Hazel Moreno</v>
      </c>
      <c r="C64" s="22">
        <f>INDEX(MeritBonus!$L$9:$L$500,MATCH('Performance Summary'!A64,MeritBonus!$F$9:$F$500,0))</f>
        <v>11498</v>
      </c>
      <c r="D64" s="22" t="str">
        <f>INDEX(MeritBonus!$M$9:$M$500,MATCH('Performance Summary'!A64,MeritBonus!$F$9:$F$500,0))</f>
        <v>John Jaworski</v>
      </c>
      <c r="E64" s="22" t="str">
        <f>INDEX(MeritBonus!$J$9:$J$500,MATCH('Performance Summary'!A64,MeritBonus!$F$9:$F$500,0))</f>
        <v>South</v>
      </c>
      <c r="F64" s="22" t="str">
        <f>INDEX(MeritBonus!$N$9:$N$500,MATCH('Performance Summary'!A64,MeritBonus!$F$9:$F$500,0))</f>
        <v>Active</v>
      </c>
      <c r="G64" s="22" t="str">
        <f>INDEX(MeritBonus!$AG$9:$AG$500,MATCH('Performance Summary'!A64,MeritBonus!$F$9:$F$500,0))</f>
        <v>Meets</v>
      </c>
      <c r="H64" s="32" t="str">
        <f>INDEX(MeritBonus!$CV$9:$CV$500,MATCH('Performance Summary'!A64,MeritBonus!$F$9:$F$500,0))</f>
        <v>99485;36523</v>
      </c>
      <c r="I64" s="32" t="str">
        <f t="shared" si="1"/>
        <v/>
      </c>
      <c r="J64" s="32" t="str">
        <f t="shared" si="2"/>
        <v>Hazel Moreno</v>
      </c>
      <c r="K64" s="32" t="str">
        <f t="shared" si="3"/>
        <v/>
      </c>
      <c r="L64" s="32" t="str">
        <f t="shared" si="4"/>
        <v/>
      </c>
      <c r="M64" s="1"/>
      <c r="N64" s="198" t="str">
        <f t="shared" si="0"/>
        <v>Show</v>
      </c>
      <c r="O64" s="1"/>
      <c r="P64" s="1"/>
      <c r="Q64" s="1"/>
      <c r="R64" s="1"/>
      <c r="S64" s="1"/>
      <c r="T64" s="1"/>
      <c r="U64" s="1"/>
      <c r="V64" s="98"/>
      <c r="W64" s="1"/>
      <c r="X64" s="1"/>
      <c r="Y64" s="1"/>
      <c r="Z64" s="1"/>
      <c r="AA64" s="1"/>
      <c r="AB64" s="1"/>
      <c r="AC64" s="1"/>
      <c r="AD64" s="1"/>
      <c r="AE64" s="1"/>
      <c r="AF64" s="98"/>
      <c r="AG64" s="1"/>
    </row>
    <row r="65" spans="1:33">
      <c r="A65" s="5">
        <v>3427</v>
      </c>
      <c r="B65" s="22" t="str">
        <f>INDEX(MeritBonus!$G$9:$G$500,MATCH('Performance Summary'!A65,MeritBonus!$F$9:$F$500,0))</f>
        <v>Angelica Black</v>
      </c>
      <c r="C65" s="22">
        <f>INDEX(MeritBonus!$L$9:$L$500,MATCH('Performance Summary'!A65,MeritBonus!$F$9:$F$500,0))</f>
        <v>11498</v>
      </c>
      <c r="D65" s="22" t="str">
        <f>INDEX(MeritBonus!$M$9:$M$500,MATCH('Performance Summary'!A65,MeritBonus!$F$9:$F$500,0))</f>
        <v>John Jaworski</v>
      </c>
      <c r="E65" s="22" t="str">
        <f>INDEX(MeritBonus!$J$9:$J$500,MATCH('Performance Summary'!A65,MeritBonus!$F$9:$F$500,0))</f>
        <v>South</v>
      </c>
      <c r="F65" s="22" t="str">
        <f>INDEX(MeritBonus!$N$9:$N$500,MATCH('Performance Summary'!A65,MeritBonus!$F$9:$F$500,0))</f>
        <v>Active</v>
      </c>
      <c r="G65" s="22" t="str">
        <f>INDEX(MeritBonus!$AG$9:$AG$500,MATCH('Performance Summary'!A65,MeritBonus!$F$9:$F$500,0))</f>
        <v>Meets</v>
      </c>
      <c r="H65" s="32" t="str">
        <f>INDEX(MeritBonus!$CV$9:$CV$500,MATCH('Performance Summary'!A65,MeritBonus!$F$9:$F$500,0))</f>
        <v>99485;36523</v>
      </c>
      <c r="I65" s="32" t="str">
        <f t="shared" si="1"/>
        <v/>
      </c>
      <c r="J65" s="32" t="str">
        <f t="shared" si="2"/>
        <v>Angelica Black</v>
      </c>
      <c r="K65" s="32" t="str">
        <f t="shared" si="3"/>
        <v/>
      </c>
      <c r="L65" s="32" t="str">
        <f t="shared" si="4"/>
        <v/>
      </c>
      <c r="M65" s="1"/>
      <c r="N65" s="198" t="str">
        <f t="shared" si="0"/>
        <v>Show</v>
      </c>
      <c r="O65" s="1"/>
      <c r="P65" s="1"/>
      <c r="Q65" s="1"/>
      <c r="R65" s="1"/>
      <c r="S65" s="1"/>
      <c r="T65" s="1"/>
      <c r="U65" s="1"/>
      <c r="V65" s="98"/>
      <c r="W65" s="1"/>
      <c r="X65" s="1"/>
      <c r="Y65" s="1"/>
      <c r="Z65" s="1"/>
      <c r="AA65" s="1"/>
      <c r="AB65" s="1"/>
      <c r="AC65" s="1"/>
      <c r="AD65" s="1"/>
      <c r="AE65" s="1"/>
      <c r="AF65" s="98"/>
      <c r="AG65" s="1"/>
    </row>
    <row r="66" spans="1:33">
      <c r="A66" s="5">
        <v>3466</v>
      </c>
      <c r="B66" s="22" t="str">
        <f>INDEX(MeritBonus!$G$9:$G$500,MATCH('Performance Summary'!A66,MeritBonus!$F$9:$F$500,0))</f>
        <v>Jeffrey Mcgill</v>
      </c>
      <c r="C66" s="22">
        <f>INDEX(MeritBonus!$L$9:$L$500,MATCH('Performance Summary'!A66,MeritBonus!$F$9:$F$500,0))</f>
        <v>20714</v>
      </c>
      <c r="D66" s="22" t="str">
        <f>INDEX(MeritBonus!$M$9:$M$500,MATCH('Performance Summary'!A66,MeritBonus!$F$9:$F$500,0))</f>
        <v>Robert Boatwright</v>
      </c>
      <c r="E66" s="22" t="str">
        <f>INDEX(MeritBonus!$J$9:$J$500,MATCH('Performance Summary'!A66,MeritBonus!$F$9:$F$500,0))</f>
        <v>South</v>
      </c>
      <c r="F66" s="22" t="str">
        <f>INDEX(MeritBonus!$N$9:$N$500,MATCH('Performance Summary'!A66,MeritBonus!$F$9:$F$500,0))</f>
        <v>Active</v>
      </c>
      <c r="G66" s="22" t="str">
        <f>INDEX(MeritBonus!$AG$9:$AG$500,MATCH('Performance Summary'!A66,MeritBonus!$F$9:$F$500,0))</f>
        <v>Meets</v>
      </c>
      <c r="H66" s="32" t="str">
        <f>INDEX(MeritBonus!$CV$9:$CV$500,MATCH('Performance Summary'!A66,MeritBonus!$F$9:$F$500,0))</f>
        <v>67890;99485</v>
      </c>
      <c r="I66" s="32" t="str">
        <f t="shared" si="1"/>
        <v/>
      </c>
      <c r="J66" s="32" t="str">
        <f t="shared" si="2"/>
        <v>Jeffrey Mcgill</v>
      </c>
      <c r="K66" s="32" t="str">
        <f t="shared" si="3"/>
        <v/>
      </c>
      <c r="L66" s="32" t="str">
        <f t="shared" si="4"/>
        <v/>
      </c>
      <c r="M66" s="1"/>
      <c r="N66" s="198" t="str">
        <f t="shared" ref="N66:N129" si="9">IF(OR(LEN(I66)&gt;0,LEN(J66)&gt;0,LEN(K66)&gt;0,LEN(L66)&gt;0),"Show","")</f>
        <v>Show</v>
      </c>
      <c r="O66" s="1"/>
      <c r="P66" s="1"/>
      <c r="Q66" s="1"/>
      <c r="R66" s="1"/>
      <c r="S66" s="1"/>
      <c r="T66" s="1"/>
      <c r="U66" s="1"/>
      <c r="V66" s="98"/>
      <c r="W66" s="1"/>
      <c r="X66" s="1"/>
      <c r="Y66" s="1"/>
      <c r="Z66" s="1"/>
      <c r="AA66" s="1"/>
      <c r="AB66" s="1"/>
      <c r="AC66" s="1"/>
      <c r="AD66" s="1"/>
      <c r="AE66" s="1"/>
      <c r="AF66" s="98"/>
      <c r="AG66" s="1"/>
    </row>
    <row r="67" spans="1:33">
      <c r="A67" s="5">
        <v>3511</v>
      </c>
      <c r="B67" s="22" t="str">
        <f>INDEX(MeritBonus!$G$9:$G$500,MATCH('Performance Summary'!A67,MeritBonus!$F$9:$F$500,0))</f>
        <v>Eric Lynch</v>
      </c>
      <c r="C67" s="22">
        <f>INDEX(MeritBonus!$L$9:$L$500,MATCH('Performance Summary'!A67,MeritBonus!$F$9:$F$500,0))</f>
        <v>29269</v>
      </c>
      <c r="D67" s="22" t="str">
        <f>INDEX(MeritBonus!$M$9:$M$500,MATCH('Performance Summary'!A67,MeritBonus!$F$9:$F$500,0))</f>
        <v>Leonard Schell</v>
      </c>
      <c r="E67" s="22" t="str">
        <f>INDEX(MeritBonus!$J$9:$J$500,MATCH('Performance Summary'!A67,MeritBonus!$F$9:$F$500,0))</f>
        <v>West</v>
      </c>
      <c r="F67" s="22" t="str">
        <f>INDEX(MeritBonus!$N$9:$N$500,MATCH('Performance Summary'!A67,MeritBonus!$F$9:$F$500,0))</f>
        <v>Active</v>
      </c>
      <c r="G67" s="22" t="str">
        <f>INDEX(MeritBonus!$AG$9:$AG$500,MATCH('Performance Summary'!A67,MeritBonus!$F$9:$F$500,0))</f>
        <v>Exceeds</v>
      </c>
      <c r="H67" s="32" t="str">
        <f>INDEX(MeritBonus!$CV$9:$CV$500,MATCH('Performance Summary'!A67,MeritBonus!$F$9:$F$500,0))</f>
        <v>67890;86672</v>
      </c>
      <c r="I67" s="32" t="str">
        <f t="shared" ref="I67:I130" si="10">IF(G67=$I$1,B67,"")</f>
        <v>Eric Lynch</v>
      </c>
      <c r="J67" s="32" t="str">
        <f t="shared" ref="J67:J130" si="11">IF(G67=$J$1,B67,"")</f>
        <v/>
      </c>
      <c r="K67" s="32" t="str">
        <f t="shared" ref="K67:K130" si="12">IF(G67=$K$1,B67,"")</f>
        <v/>
      </c>
      <c r="L67" s="32" t="str">
        <f t="shared" ref="L67:L130" si="13">IF(G67="",B67,"")</f>
        <v/>
      </c>
      <c r="M67" s="1"/>
      <c r="N67" s="198" t="str">
        <f t="shared" si="9"/>
        <v>Show</v>
      </c>
      <c r="O67" s="1"/>
      <c r="P67" s="1"/>
      <c r="Q67" s="1"/>
      <c r="R67" s="1"/>
      <c r="S67" s="1"/>
      <c r="T67" s="1"/>
      <c r="U67" s="1"/>
      <c r="V67" s="98"/>
      <c r="W67" s="1"/>
      <c r="X67" s="1"/>
      <c r="Y67" s="1"/>
      <c r="Z67" s="1"/>
      <c r="AA67" s="1"/>
      <c r="AB67" s="1"/>
      <c r="AC67" s="1"/>
      <c r="AD67" s="1"/>
      <c r="AE67" s="1"/>
      <c r="AF67" s="98"/>
      <c r="AG67" s="1"/>
    </row>
    <row r="68" spans="1:33">
      <c r="A68" s="5">
        <v>3518</v>
      </c>
      <c r="B68" s="22" t="str">
        <f>INDEX(MeritBonus!$G$9:$G$500,MATCH('Performance Summary'!A68,MeritBonus!$F$9:$F$500,0))</f>
        <v>Cora Lunn</v>
      </c>
      <c r="C68" s="22">
        <f>INDEX(MeritBonus!$L$9:$L$500,MATCH('Performance Summary'!A68,MeritBonus!$F$9:$F$500,0))</f>
        <v>29269</v>
      </c>
      <c r="D68" s="22" t="str">
        <f>INDEX(MeritBonus!$M$9:$M$500,MATCH('Performance Summary'!A68,MeritBonus!$F$9:$F$500,0))</f>
        <v>Leonard Schell</v>
      </c>
      <c r="E68" s="22" t="str">
        <f>INDEX(MeritBonus!$J$9:$J$500,MATCH('Performance Summary'!A68,MeritBonus!$F$9:$F$500,0))</f>
        <v>West</v>
      </c>
      <c r="F68" s="22" t="str">
        <f>INDEX(MeritBonus!$N$9:$N$500,MATCH('Performance Summary'!A68,MeritBonus!$F$9:$F$500,0))</f>
        <v>Active</v>
      </c>
      <c r="G68" s="22" t="str">
        <f>INDEX(MeritBonus!$AG$9:$AG$500,MATCH('Performance Summary'!A68,MeritBonus!$F$9:$F$500,0))</f>
        <v>Meets</v>
      </c>
      <c r="H68" s="32" t="str">
        <f>INDEX(MeritBonus!$CV$9:$CV$500,MATCH('Performance Summary'!A68,MeritBonus!$F$9:$F$500,0))</f>
        <v>67890;86672</v>
      </c>
      <c r="I68" s="32" t="str">
        <f t="shared" si="10"/>
        <v/>
      </c>
      <c r="J68" s="32" t="str">
        <f t="shared" si="11"/>
        <v>Cora Lunn</v>
      </c>
      <c r="K68" s="32" t="str">
        <f t="shared" si="12"/>
        <v/>
      </c>
      <c r="L68" s="32" t="str">
        <f t="shared" si="13"/>
        <v/>
      </c>
      <c r="M68" s="1"/>
      <c r="N68" s="198" t="str">
        <f t="shared" si="9"/>
        <v>Show</v>
      </c>
      <c r="O68" s="1"/>
      <c r="P68" s="1"/>
      <c r="Q68" s="1"/>
      <c r="R68" s="1"/>
      <c r="S68" s="1"/>
      <c r="T68" s="1"/>
      <c r="U68" s="1"/>
      <c r="V68" s="98"/>
      <c r="W68" s="1"/>
      <c r="X68" s="1"/>
      <c r="Y68" s="1"/>
      <c r="Z68" s="1"/>
      <c r="AA68" s="1"/>
      <c r="AB68" s="1"/>
      <c r="AC68" s="1"/>
      <c r="AD68" s="1"/>
      <c r="AE68" s="1"/>
      <c r="AF68" s="98"/>
      <c r="AG68" s="1"/>
    </row>
    <row r="69" spans="1:33">
      <c r="A69" s="5">
        <v>3533</v>
      </c>
      <c r="B69" s="22" t="str">
        <f>INDEX(MeritBonus!$G$9:$G$500,MATCH('Performance Summary'!A69,MeritBonus!$F$9:$F$500,0))</f>
        <v>Susan Sommerville</v>
      </c>
      <c r="C69" s="22">
        <f>INDEX(MeritBonus!$L$9:$L$500,MATCH('Performance Summary'!A69,MeritBonus!$F$9:$F$500,0))</f>
        <v>29269</v>
      </c>
      <c r="D69" s="22" t="str">
        <f>INDEX(MeritBonus!$M$9:$M$500,MATCH('Performance Summary'!A69,MeritBonus!$F$9:$F$500,0))</f>
        <v>Leonard Schell</v>
      </c>
      <c r="E69" s="22" t="str">
        <f>INDEX(MeritBonus!$J$9:$J$500,MATCH('Performance Summary'!A69,MeritBonus!$F$9:$F$500,0))</f>
        <v>West</v>
      </c>
      <c r="F69" s="22" t="str">
        <f>INDEX(MeritBonus!$N$9:$N$500,MATCH('Performance Summary'!A69,MeritBonus!$F$9:$F$500,0))</f>
        <v>Active</v>
      </c>
      <c r="G69" s="22" t="str">
        <f>INDEX(MeritBonus!$AG$9:$AG$500,MATCH('Performance Summary'!A69,MeritBonus!$F$9:$F$500,0))</f>
        <v>Meets</v>
      </c>
      <c r="H69" s="32" t="str">
        <f>INDEX(MeritBonus!$CV$9:$CV$500,MATCH('Performance Summary'!A69,MeritBonus!$F$9:$F$500,0))</f>
        <v>67890;86672</v>
      </c>
      <c r="I69" s="32" t="str">
        <f t="shared" si="10"/>
        <v/>
      </c>
      <c r="J69" s="32" t="str">
        <f t="shared" si="11"/>
        <v>Susan Sommerville</v>
      </c>
      <c r="K69" s="32" t="str">
        <f t="shared" si="12"/>
        <v/>
      </c>
      <c r="L69" s="32" t="str">
        <f t="shared" si="13"/>
        <v/>
      </c>
      <c r="M69" s="1"/>
      <c r="N69" s="198" t="str">
        <f t="shared" si="9"/>
        <v>Show</v>
      </c>
      <c r="O69" s="1"/>
      <c r="P69" s="1"/>
      <c r="Q69" s="1"/>
      <c r="R69" s="1"/>
      <c r="S69" s="1"/>
      <c r="T69" s="1"/>
      <c r="U69" s="1"/>
      <c r="V69" s="98"/>
      <c r="W69" s="1"/>
      <c r="X69" s="1"/>
      <c r="Y69" s="1"/>
      <c r="Z69" s="1"/>
      <c r="AA69" s="1"/>
      <c r="AB69" s="1"/>
      <c r="AC69" s="1"/>
      <c r="AD69" s="1"/>
      <c r="AE69" s="1"/>
      <c r="AF69" s="98"/>
      <c r="AG69" s="1"/>
    </row>
    <row r="70" spans="1:33">
      <c r="A70" s="5">
        <v>3729</v>
      </c>
      <c r="B70" s="22" t="str">
        <f>INDEX(MeritBonus!$G$9:$G$500,MATCH('Performance Summary'!A70,MeritBonus!$F$9:$F$500,0))</f>
        <v>Heidi Mertens</v>
      </c>
      <c r="C70" s="22">
        <f>INDEX(MeritBonus!$L$9:$L$500,MATCH('Performance Summary'!A70,MeritBonus!$F$9:$F$500,0))</f>
        <v>11351</v>
      </c>
      <c r="D70" s="22" t="str">
        <f>INDEX(MeritBonus!$M$9:$M$500,MATCH('Performance Summary'!A70,MeritBonus!$F$9:$F$500,0))</f>
        <v>Allison Felton</v>
      </c>
      <c r="E70" s="22" t="str">
        <f>INDEX(MeritBonus!$J$9:$J$500,MATCH('Performance Summary'!A70,MeritBonus!$F$9:$F$500,0))</f>
        <v>East</v>
      </c>
      <c r="F70" s="22" t="str">
        <f>INDEX(MeritBonus!$N$9:$N$500,MATCH('Performance Summary'!A70,MeritBonus!$F$9:$F$500,0))</f>
        <v>Active</v>
      </c>
      <c r="G70" s="22" t="str">
        <f>INDEX(MeritBonus!$AG$9:$AG$500,MATCH('Performance Summary'!A70,MeritBonus!$F$9:$F$500,0))</f>
        <v>Below</v>
      </c>
      <c r="H70" s="32" t="str">
        <f>INDEX(MeritBonus!$CV$9:$CV$500,MATCH('Performance Summary'!A70,MeritBonus!$F$9:$F$500,0))</f>
        <v>90876;99485</v>
      </c>
      <c r="I70" s="32" t="str">
        <f t="shared" si="10"/>
        <v/>
      </c>
      <c r="J70" s="32" t="str">
        <f t="shared" si="11"/>
        <v/>
      </c>
      <c r="K70" s="32" t="str">
        <f t="shared" si="12"/>
        <v>Heidi Mertens</v>
      </c>
      <c r="L70" s="32" t="str">
        <f t="shared" si="13"/>
        <v/>
      </c>
      <c r="M70" s="1"/>
      <c r="N70" s="198" t="str">
        <f t="shared" si="9"/>
        <v>Show</v>
      </c>
      <c r="O70" s="1"/>
      <c r="P70" s="1"/>
      <c r="Q70" s="1"/>
      <c r="R70" s="1"/>
      <c r="S70" s="1"/>
      <c r="T70" s="1"/>
      <c r="U70" s="1"/>
      <c r="V70" s="98"/>
      <c r="W70" s="1"/>
      <c r="X70" s="1"/>
      <c r="Y70" s="1"/>
      <c r="Z70" s="1"/>
      <c r="AA70" s="1"/>
      <c r="AB70" s="1"/>
      <c r="AC70" s="1"/>
      <c r="AD70" s="1"/>
      <c r="AE70" s="1"/>
      <c r="AF70" s="98"/>
      <c r="AG70" s="1"/>
    </row>
    <row r="71" spans="1:33">
      <c r="A71" s="5">
        <v>4297</v>
      </c>
      <c r="B71" s="22" t="str">
        <f>INDEX(MeritBonus!$G$9:$G$500,MATCH('Performance Summary'!A71,MeritBonus!$F$9:$F$500,0))</f>
        <v>Cindy Brumley</v>
      </c>
      <c r="C71" s="22">
        <f>INDEX(MeritBonus!$L$9:$L$500,MATCH('Performance Summary'!A71,MeritBonus!$F$9:$F$500,0))</f>
        <v>29331</v>
      </c>
      <c r="D71" s="22" t="str">
        <f>INDEX(MeritBonus!$M$9:$M$500,MATCH('Performance Summary'!A71,MeritBonus!$F$9:$F$500,0))</f>
        <v>Jack Falkner</v>
      </c>
      <c r="E71" s="22" t="str">
        <f>INDEX(MeritBonus!$J$9:$J$500,MATCH('Performance Summary'!A71,MeritBonus!$F$9:$F$500,0))</f>
        <v>Midwest</v>
      </c>
      <c r="F71" s="22" t="str">
        <f>INDEX(MeritBonus!$N$9:$N$500,MATCH('Performance Summary'!A71,MeritBonus!$F$9:$F$500,0))</f>
        <v>Active</v>
      </c>
      <c r="G71" s="22" t="str">
        <f>INDEX(MeritBonus!$AG$9:$AG$500,MATCH('Performance Summary'!A71,MeritBonus!$F$9:$F$500,0))</f>
        <v>Meets</v>
      </c>
      <c r="H71" s="32" t="str">
        <f>INDEX(MeritBonus!$CV$9:$CV$500,MATCH('Performance Summary'!A71,MeritBonus!$F$9:$F$500,0))</f>
        <v>67890;86672</v>
      </c>
      <c r="I71" s="32" t="str">
        <f t="shared" si="10"/>
        <v/>
      </c>
      <c r="J71" s="32" t="str">
        <f t="shared" si="11"/>
        <v>Cindy Brumley</v>
      </c>
      <c r="K71" s="32" t="str">
        <f t="shared" si="12"/>
        <v/>
      </c>
      <c r="L71" s="32" t="str">
        <f t="shared" si="13"/>
        <v/>
      </c>
      <c r="M71" s="1"/>
      <c r="N71" s="198" t="str">
        <f t="shared" si="9"/>
        <v>Show</v>
      </c>
      <c r="O71" s="1"/>
      <c r="P71" s="1"/>
      <c r="Q71" s="1"/>
      <c r="R71" s="1"/>
      <c r="S71" s="1"/>
      <c r="T71" s="1"/>
      <c r="U71" s="1"/>
      <c r="V71" s="98"/>
      <c r="W71" s="1"/>
      <c r="X71" s="1"/>
      <c r="Y71" s="1"/>
      <c r="Z71" s="1"/>
      <c r="AA71" s="1"/>
      <c r="AB71" s="1"/>
      <c r="AC71" s="1"/>
      <c r="AD71" s="1"/>
      <c r="AE71" s="1"/>
      <c r="AF71" s="98"/>
      <c r="AG71" s="1"/>
    </row>
    <row r="72" spans="1:33">
      <c r="A72" s="5">
        <v>4328</v>
      </c>
      <c r="B72" s="22" t="str">
        <f>INDEX(MeritBonus!$G$9:$G$500,MATCH('Performance Summary'!A72,MeritBonus!$F$9:$F$500,0))</f>
        <v>Christopher Pulido</v>
      </c>
      <c r="C72" s="22">
        <f>INDEX(MeritBonus!$L$9:$L$500,MATCH('Performance Summary'!A72,MeritBonus!$F$9:$F$500,0))</f>
        <v>29269</v>
      </c>
      <c r="D72" s="22" t="str">
        <f>INDEX(MeritBonus!$M$9:$M$500,MATCH('Performance Summary'!A72,MeritBonus!$F$9:$F$500,0))</f>
        <v>Leonard Schell</v>
      </c>
      <c r="E72" s="22" t="str">
        <f>INDEX(MeritBonus!$J$9:$J$500,MATCH('Performance Summary'!A72,MeritBonus!$F$9:$F$500,0))</f>
        <v>West</v>
      </c>
      <c r="F72" s="22" t="str">
        <f>INDEX(MeritBonus!$N$9:$N$500,MATCH('Performance Summary'!A72,MeritBonus!$F$9:$F$500,0))</f>
        <v>Active</v>
      </c>
      <c r="G72" s="22" t="str">
        <f>INDEX(MeritBonus!$AG$9:$AG$500,MATCH('Performance Summary'!A72,MeritBonus!$F$9:$F$500,0))</f>
        <v>Meets</v>
      </c>
      <c r="H72" s="32" t="str">
        <f>INDEX(MeritBonus!$CV$9:$CV$500,MATCH('Performance Summary'!A72,MeritBonus!$F$9:$F$500,0))</f>
        <v>67890;86672</v>
      </c>
      <c r="I72" s="32" t="str">
        <f t="shared" si="10"/>
        <v/>
      </c>
      <c r="J72" s="32" t="str">
        <f t="shared" si="11"/>
        <v>Christopher Pulido</v>
      </c>
      <c r="K72" s="32" t="str">
        <f t="shared" si="12"/>
        <v/>
      </c>
      <c r="L72" s="32" t="str">
        <f t="shared" si="13"/>
        <v/>
      </c>
      <c r="M72" s="1"/>
      <c r="N72" s="198" t="str">
        <f t="shared" si="9"/>
        <v>Show</v>
      </c>
      <c r="O72" s="1"/>
      <c r="P72" s="1"/>
      <c r="Q72" s="1"/>
      <c r="R72" s="1"/>
      <c r="S72" s="1"/>
      <c r="T72" s="1"/>
      <c r="U72" s="1"/>
      <c r="V72" s="98"/>
      <c r="W72" s="1"/>
      <c r="X72" s="1"/>
      <c r="Y72" s="1"/>
      <c r="Z72" s="1"/>
      <c r="AA72" s="1"/>
      <c r="AB72" s="1"/>
      <c r="AC72" s="1"/>
      <c r="AD72" s="1"/>
      <c r="AE72" s="1"/>
      <c r="AF72" s="98"/>
      <c r="AG72" s="1"/>
    </row>
    <row r="73" spans="1:33">
      <c r="A73" s="5">
        <v>4577</v>
      </c>
      <c r="B73" s="22" t="str">
        <f>INDEX(MeritBonus!$G$9:$G$500,MATCH('Performance Summary'!A73,MeritBonus!$F$9:$F$500,0))</f>
        <v>Manuel Yi</v>
      </c>
      <c r="C73" s="22">
        <f>INDEX(MeritBonus!$L$9:$L$500,MATCH('Performance Summary'!A73,MeritBonus!$F$9:$F$500,0))</f>
        <v>29269</v>
      </c>
      <c r="D73" s="22" t="str">
        <f>INDEX(MeritBonus!$M$9:$M$500,MATCH('Performance Summary'!A73,MeritBonus!$F$9:$F$500,0))</f>
        <v>Leonard Schell</v>
      </c>
      <c r="E73" s="22" t="str">
        <f>INDEX(MeritBonus!$J$9:$J$500,MATCH('Performance Summary'!A73,MeritBonus!$F$9:$F$500,0))</f>
        <v>West</v>
      </c>
      <c r="F73" s="22" t="str">
        <f>INDEX(MeritBonus!$N$9:$N$500,MATCH('Performance Summary'!A73,MeritBonus!$F$9:$F$500,0))</f>
        <v>Active</v>
      </c>
      <c r="G73" s="22" t="str">
        <f>INDEX(MeritBonus!$AG$9:$AG$500,MATCH('Performance Summary'!A73,MeritBonus!$F$9:$F$500,0))</f>
        <v>Exceeds</v>
      </c>
      <c r="H73" s="32" t="str">
        <f>INDEX(MeritBonus!$CV$9:$CV$500,MATCH('Performance Summary'!A73,MeritBonus!$F$9:$F$500,0))</f>
        <v>67890;86672</v>
      </c>
      <c r="I73" s="32" t="str">
        <f t="shared" si="10"/>
        <v>Manuel Yi</v>
      </c>
      <c r="J73" s="32" t="str">
        <f t="shared" si="11"/>
        <v/>
      </c>
      <c r="K73" s="32" t="str">
        <f t="shared" si="12"/>
        <v/>
      </c>
      <c r="L73" s="32" t="str">
        <f t="shared" si="13"/>
        <v/>
      </c>
      <c r="M73" s="1"/>
      <c r="N73" s="198" t="str">
        <f t="shared" si="9"/>
        <v>Show</v>
      </c>
      <c r="O73" s="1"/>
      <c r="P73" s="1"/>
      <c r="Q73" s="1"/>
      <c r="R73" s="1"/>
      <c r="S73" s="1"/>
      <c r="T73" s="1"/>
      <c r="U73" s="1"/>
      <c r="V73" s="98"/>
      <c r="W73" s="1"/>
      <c r="X73" s="1"/>
      <c r="Y73" s="1"/>
      <c r="Z73" s="1"/>
      <c r="AA73" s="1"/>
      <c r="AB73" s="1"/>
      <c r="AC73" s="1"/>
      <c r="AD73" s="1"/>
      <c r="AE73" s="1"/>
      <c r="AF73" s="98"/>
      <c r="AG73" s="1"/>
    </row>
    <row r="74" spans="1:33">
      <c r="A74" s="5">
        <v>4661</v>
      </c>
      <c r="B74" s="22" t="str">
        <f>INDEX(MeritBonus!$G$9:$G$500,MATCH('Performance Summary'!A74,MeritBonus!$F$9:$F$500,0))</f>
        <v>Bessie Dorsett</v>
      </c>
      <c r="C74" s="22">
        <f>INDEX(MeritBonus!$L$9:$L$500,MATCH('Performance Summary'!A74,MeritBonus!$F$9:$F$500,0))</f>
        <v>29269</v>
      </c>
      <c r="D74" s="22" t="str">
        <f>INDEX(MeritBonus!$M$9:$M$500,MATCH('Performance Summary'!A74,MeritBonus!$F$9:$F$500,0))</f>
        <v>Leonard Schell</v>
      </c>
      <c r="E74" s="22" t="str">
        <f>INDEX(MeritBonus!$J$9:$J$500,MATCH('Performance Summary'!A74,MeritBonus!$F$9:$F$500,0))</f>
        <v>West</v>
      </c>
      <c r="F74" s="22" t="str">
        <f>INDEX(MeritBonus!$N$9:$N$500,MATCH('Performance Summary'!A74,MeritBonus!$F$9:$F$500,0))</f>
        <v>Active</v>
      </c>
      <c r="G74" s="22" t="str">
        <f>INDEX(MeritBonus!$AG$9:$AG$500,MATCH('Performance Summary'!A74,MeritBonus!$F$9:$F$500,0))</f>
        <v>Meets</v>
      </c>
      <c r="H74" s="32" t="str">
        <f>INDEX(MeritBonus!$CV$9:$CV$500,MATCH('Performance Summary'!A74,MeritBonus!$F$9:$F$500,0))</f>
        <v>67890;86672</v>
      </c>
      <c r="I74" s="32" t="str">
        <f t="shared" si="10"/>
        <v/>
      </c>
      <c r="J74" s="32" t="str">
        <f t="shared" si="11"/>
        <v>Bessie Dorsett</v>
      </c>
      <c r="K74" s="32" t="str">
        <f t="shared" si="12"/>
        <v/>
      </c>
      <c r="L74" s="32" t="str">
        <f t="shared" si="13"/>
        <v/>
      </c>
      <c r="M74" s="1"/>
      <c r="N74" s="198" t="str">
        <f t="shared" si="9"/>
        <v>Show</v>
      </c>
      <c r="O74" s="1"/>
      <c r="P74" s="1"/>
      <c r="Q74" s="1"/>
      <c r="R74" s="1"/>
      <c r="S74" s="1"/>
      <c r="T74" s="1"/>
      <c r="U74" s="1"/>
      <c r="V74" s="98"/>
      <c r="W74" s="1"/>
      <c r="X74" s="1"/>
      <c r="Y74" s="1"/>
      <c r="Z74" s="1"/>
      <c r="AA74" s="1"/>
      <c r="AB74" s="1"/>
      <c r="AC74" s="1"/>
      <c r="AD74" s="1"/>
      <c r="AE74" s="1"/>
      <c r="AF74" s="98"/>
      <c r="AG74" s="1"/>
    </row>
    <row r="75" spans="1:33">
      <c r="A75" s="5">
        <v>4738</v>
      </c>
      <c r="B75" s="22" t="str">
        <f>INDEX(MeritBonus!$G$9:$G$500,MATCH('Performance Summary'!A75,MeritBonus!$F$9:$F$500,0))</f>
        <v>Audrey Fields</v>
      </c>
      <c r="C75" s="22">
        <f>INDEX(MeritBonus!$L$9:$L$500,MATCH('Performance Summary'!A75,MeritBonus!$F$9:$F$500,0))</f>
        <v>11308</v>
      </c>
      <c r="D75" s="22" t="str">
        <f>INDEX(MeritBonus!$M$9:$M$500,MATCH('Performance Summary'!A75,MeritBonus!$F$9:$F$500,0))</f>
        <v>Todd Falco</v>
      </c>
      <c r="E75" s="22" t="str">
        <f>INDEX(MeritBonus!$J$9:$J$500,MATCH('Performance Summary'!A75,MeritBonus!$F$9:$F$500,0))</f>
        <v>West</v>
      </c>
      <c r="F75" s="22" t="str">
        <f>INDEX(MeritBonus!$N$9:$N$500,MATCH('Performance Summary'!A75,MeritBonus!$F$9:$F$500,0))</f>
        <v>Active</v>
      </c>
      <c r="G75" s="22" t="str">
        <f>INDEX(MeritBonus!$AG$9:$AG$500,MATCH('Performance Summary'!A75,MeritBonus!$F$9:$F$500,0))</f>
        <v>Meets</v>
      </c>
      <c r="H75" s="32" t="str">
        <f>INDEX(MeritBonus!$CV$9:$CV$500,MATCH('Performance Summary'!A75,MeritBonus!$F$9:$F$500,0))</f>
        <v>67890;99485</v>
      </c>
      <c r="I75" s="32" t="str">
        <f t="shared" si="10"/>
        <v/>
      </c>
      <c r="J75" s="32" t="str">
        <f t="shared" si="11"/>
        <v>Audrey Fields</v>
      </c>
      <c r="K75" s="32" t="str">
        <f t="shared" si="12"/>
        <v/>
      </c>
      <c r="L75" s="32" t="str">
        <f t="shared" si="13"/>
        <v/>
      </c>
      <c r="M75" s="1"/>
      <c r="N75" s="198" t="str">
        <f t="shared" si="9"/>
        <v>Show</v>
      </c>
      <c r="O75" s="1"/>
      <c r="P75" s="1"/>
      <c r="Q75" s="1"/>
      <c r="R75" s="1"/>
      <c r="S75" s="1"/>
      <c r="T75" s="1"/>
      <c r="U75" s="1"/>
      <c r="V75" s="98"/>
      <c r="W75" s="1"/>
      <c r="X75" s="1"/>
      <c r="Y75" s="1"/>
      <c r="Z75" s="1"/>
      <c r="AA75" s="1"/>
      <c r="AB75" s="1"/>
      <c r="AC75" s="1"/>
      <c r="AD75" s="1"/>
      <c r="AE75" s="1"/>
      <c r="AF75" s="98"/>
      <c r="AG75" s="1"/>
    </row>
    <row r="76" spans="1:33">
      <c r="A76" s="5">
        <v>4793</v>
      </c>
      <c r="B76" s="22" t="str">
        <f>INDEX(MeritBonus!$G$9:$G$500,MATCH('Performance Summary'!A76,MeritBonus!$F$9:$F$500,0))</f>
        <v>Penny Lingle</v>
      </c>
      <c r="C76" s="22">
        <f>INDEX(MeritBonus!$L$9:$L$500,MATCH('Performance Summary'!A76,MeritBonus!$F$9:$F$500,0))</f>
        <v>11308</v>
      </c>
      <c r="D76" s="22" t="str">
        <f>INDEX(MeritBonus!$M$9:$M$500,MATCH('Performance Summary'!A76,MeritBonus!$F$9:$F$500,0))</f>
        <v>Todd Falco</v>
      </c>
      <c r="E76" s="22" t="str">
        <f>INDEX(MeritBonus!$J$9:$J$500,MATCH('Performance Summary'!A76,MeritBonus!$F$9:$F$500,0))</f>
        <v>West</v>
      </c>
      <c r="F76" s="22" t="str">
        <f>INDEX(MeritBonus!$N$9:$N$500,MATCH('Performance Summary'!A76,MeritBonus!$F$9:$F$500,0))</f>
        <v>Active</v>
      </c>
      <c r="G76" s="22" t="str">
        <f>INDEX(MeritBonus!$AG$9:$AG$500,MATCH('Performance Summary'!A76,MeritBonus!$F$9:$F$500,0))</f>
        <v>Meets</v>
      </c>
      <c r="H76" s="32" t="str">
        <f>INDEX(MeritBonus!$CV$9:$CV$500,MATCH('Performance Summary'!A76,MeritBonus!$F$9:$F$500,0))</f>
        <v>67890;99485</v>
      </c>
      <c r="I76" s="32" t="str">
        <f t="shared" si="10"/>
        <v/>
      </c>
      <c r="J76" s="32" t="str">
        <f t="shared" si="11"/>
        <v>Penny Lingle</v>
      </c>
      <c r="K76" s="32" t="str">
        <f t="shared" si="12"/>
        <v/>
      </c>
      <c r="L76" s="32" t="str">
        <f t="shared" si="13"/>
        <v/>
      </c>
      <c r="M76" s="1"/>
      <c r="N76" s="198" t="str">
        <f t="shared" si="9"/>
        <v>Show</v>
      </c>
      <c r="O76" s="1"/>
      <c r="P76" s="1"/>
      <c r="Q76" s="1"/>
      <c r="R76" s="1"/>
      <c r="S76" s="1"/>
      <c r="T76" s="1"/>
      <c r="U76" s="1"/>
      <c r="V76" s="98"/>
      <c r="W76" s="1"/>
      <c r="X76" s="1"/>
      <c r="Y76" s="1"/>
      <c r="Z76" s="1"/>
      <c r="AA76" s="1"/>
      <c r="AB76" s="1"/>
      <c r="AC76" s="1"/>
      <c r="AD76" s="1"/>
      <c r="AE76" s="1"/>
      <c r="AF76" s="98"/>
      <c r="AG76" s="1"/>
    </row>
    <row r="77" spans="1:33">
      <c r="A77" s="5">
        <v>4855</v>
      </c>
      <c r="B77" s="22" t="str">
        <f>INDEX(MeritBonus!$G$9:$G$500,MATCH('Performance Summary'!A77,MeritBonus!$F$9:$F$500,0))</f>
        <v>Pam Ivie</v>
      </c>
      <c r="C77" s="22">
        <f>INDEX(MeritBonus!$L$9:$L$500,MATCH('Performance Summary'!A77,MeritBonus!$F$9:$F$500,0))</f>
        <v>29326</v>
      </c>
      <c r="D77" s="22" t="str">
        <f>INDEX(MeritBonus!$M$9:$M$500,MATCH('Performance Summary'!A77,MeritBonus!$F$9:$F$500,0))</f>
        <v>Maxine Mceachern</v>
      </c>
      <c r="E77" s="22" t="str">
        <f>INDEX(MeritBonus!$J$9:$J$500,MATCH('Performance Summary'!A77,MeritBonus!$F$9:$F$500,0))</f>
        <v>Midwest</v>
      </c>
      <c r="F77" s="22" t="str">
        <f>INDEX(MeritBonus!$N$9:$N$500,MATCH('Performance Summary'!A77,MeritBonus!$F$9:$F$500,0))</f>
        <v>Active</v>
      </c>
      <c r="G77" s="22" t="str">
        <f>INDEX(MeritBonus!$AG$9:$AG$500,MATCH('Performance Summary'!A77,MeritBonus!$F$9:$F$500,0))</f>
        <v>Meets</v>
      </c>
      <c r="H77" s="32" t="str">
        <f>INDEX(MeritBonus!$CV$9:$CV$500,MATCH('Performance Summary'!A77,MeritBonus!$F$9:$F$500,0))</f>
        <v>67890;86672</v>
      </c>
      <c r="I77" s="32" t="str">
        <f t="shared" si="10"/>
        <v/>
      </c>
      <c r="J77" s="32" t="str">
        <f t="shared" si="11"/>
        <v>Pam Ivie</v>
      </c>
      <c r="K77" s="32" t="str">
        <f t="shared" si="12"/>
        <v/>
      </c>
      <c r="L77" s="32" t="str">
        <f t="shared" si="13"/>
        <v/>
      </c>
      <c r="M77" s="1"/>
      <c r="N77" s="198" t="str">
        <f t="shared" si="9"/>
        <v>Show</v>
      </c>
      <c r="O77" s="1"/>
      <c r="P77" s="1"/>
      <c r="Q77" s="1"/>
      <c r="R77" s="1"/>
      <c r="S77" s="1"/>
      <c r="T77" s="1"/>
      <c r="U77" s="1"/>
      <c r="V77" s="98"/>
      <c r="W77" s="1"/>
      <c r="X77" s="1"/>
      <c r="Y77" s="1"/>
      <c r="Z77" s="1"/>
      <c r="AA77" s="1"/>
      <c r="AB77" s="1"/>
      <c r="AC77" s="1"/>
      <c r="AD77" s="1"/>
      <c r="AE77" s="1"/>
      <c r="AF77" s="98"/>
      <c r="AG77" s="1"/>
    </row>
    <row r="78" spans="1:33">
      <c r="A78" s="5">
        <v>4868</v>
      </c>
      <c r="B78" s="22" t="str">
        <f>INDEX(MeritBonus!$G$9:$G$500,MATCH('Performance Summary'!A78,MeritBonus!$F$9:$F$500,0))</f>
        <v>Terry Mansour</v>
      </c>
      <c r="C78" s="22">
        <f>INDEX(MeritBonus!$L$9:$L$500,MATCH('Performance Summary'!A78,MeritBonus!$F$9:$F$500,0))</f>
        <v>29269</v>
      </c>
      <c r="D78" s="22" t="str">
        <f>INDEX(MeritBonus!$M$9:$M$500,MATCH('Performance Summary'!A78,MeritBonus!$F$9:$F$500,0))</f>
        <v>Leonard Schell</v>
      </c>
      <c r="E78" s="22" t="str">
        <f>INDEX(MeritBonus!$J$9:$J$500,MATCH('Performance Summary'!A78,MeritBonus!$F$9:$F$500,0))</f>
        <v>West</v>
      </c>
      <c r="F78" s="22" t="str">
        <f>INDEX(MeritBonus!$N$9:$N$500,MATCH('Performance Summary'!A78,MeritBonus!$F$9:$F$500,0))</f>
        <v>Active</v>
      </c>
      <c r="G78" s="22" t="str">
        <f>INDEX(MeritBonus!$AG$9:$AG$500,MATCH('Performance Summary'!A78,MeritBonus!$F$9:$F$500,0))</f>
        <v>Meets</v>
      </c>
      <c r="H78" s="32" t="str">
        <f>INDEX(MeritBonus!$CV$9:$CV$500,MATCH('Performance Summary'!A78,MeritBonus!$F$9:$F$500,0))</f>
        <v>67890;86672</v>
      </c>
      <c r="I78" s="32" t="str">
        <f t="shared" si="10"/>
        <v/>
      </c>
      <c r="J78" s="32" t="str">
        <f t="shared" si="11"/>
        <v>Terry Mansour</v>
      </c>
      <c r="K78" s="32" t="str">
        <f t="shared" si="12"/>
        <v/>
      </c>
      <c r="L78" s="32" t="str">
        <f t="shared" si="13"/>
        <v/>
      </c>
      <c r="M78" s="1"/>
      <c r="N78" s="198" t="str">
        <f t="shared" si="9"/>
        <v>Show</v>
      </c>
      <c r="O78" s="1"/>
      <c r="P78" s="1"/>
      <c r="Q78" s="1"/>
      <c r="R78" s="1"/>
      <c r="S78" s="1"/>
      <c r="T78" s="1"/>
      <c r="U78" s="1"/>
      <c r="V78" s="98"/>
      <c r="W78" s="1"/>
      <c r="X78" s="1"/>
      <c r="Y78" s="1"/>
      <c r="Z78" s="1"/>
      <c r="AA78" s="1"/>
      <c r="AB78" s="1"/>
      <c r="AC78" s="1"/>
      <c r="AD78" s="1"/>
      <c r="AE78" s="1"/>
      <c r="AF78" s="98"/>
      <c r="AG78" s="1"/>
    </row>
    <row r="79" spans="1:33">
      <c r="A79" s="5">
        <v>4973</v>
      </c>
      <c r="B79" s="22" t="str">
        <f>INDEX(MeritBonus!$G$9:$G$500,MATCH('Performance Summary'!A79,MeritBonus!$F$9:$F$500,0))</f>
        <v>Curtis Marble</v>
      </c>
      <c r="C79" s="22">
        <f>INDEX(MeritBonus!$L$9:$L$500,MATCH('Performance Summary'!A79,MeritBonus!$F$9:$F$500,0))</f>
        <v>11308</v>
      </c>
      <c r="D79" s="22" t="str">
        <f>INDEX(MeritBonus!$M$9:$M$500,MATCH('Performance Summary'!A79,MeritBonus!$F$9:$F$500,0))</f>
        <v>Todd Falco</v>
      </c>
      <c r="E79" s="22" t="str">
        <f>INDEX(MeritBonus!$J$9:$J$500,MATCH('Performance Summary'!A79,MeritBonus!$F$9:$F$500,0))</f>
        <v>West</v>
      </c>
      <c r="F79" s="22" t="str">
        <f>INDEX(MeritBonus!$N$9:$N$500,MATCH('Performance Summary'!A79,MeritBonus!$F$9:$F$500,0))</f>
        <v>Active</v>
      </c>
      <c r="G79" s="22" t="str">
        <f>INDEX(MeritBonus!$AG$9:$AG$500,MATCH('Performance Summary'!A79,MeritBonus!$F$9:$F$500,0))</f>
        <v>Meets</v>
      </c>
      <c r="H79" s="32" t="str">
        <f>INDEX(MeritBonus!$CV$9:$CV$500,MATCH('Performance Summary'!A79,MeritBonus!$F$9:$F$500,0))</f>
        <v>67890;99485</v>
      </c>
      <c r="I79" s="32" t="str">
        <f t="shared" si="10"/>
        <v/>
      </c>
      <c r="J79" s="32" t="str">
        <f t="shared" si="11"/>
        <v>Curtis Marble</v>
      </c>
      <c r="K79" s="32" t="str">
        <f t="shared" si="12"/>
        <v/>
      </c>
      <c r="L79" s="32" t="str">
        <f t="shared" si="13"/>
        <v/>
      </c>
      <c r="M79" s="1"/>
      <c r="N79" s="198" t="str">
        <f t="shared" si="9"/>
        <v>Show</v>
      </c>
      <c r="O79" s="1"/>
      <c r="P79" s="1"/>
      <c r="Q79" s="1"/>
      <c r="R79" s="1"/>
      <c r="S79" s="1"/>
      <c r="T79" s="1"/>
      <c r="U79" s="1"/>
      <c r="V79" s="98"/>
      <c r="W79" s="1"/>
      <c r="X79" s="1"/>
      <c r="Y79" s="1"/>
      <c r="Z79" s="1"/>
      <c r="AA79" s="1"/>
      <c r="AB79" s="1"/>
      <c r="AC79" s="1"/>
      <c r="AD79" s="1"/>
      <c r="AE79" s="1"/>
      <c r="AF79" s="98"/>
      <c r="AG79" s="1"/>
    </row>
    <row r="80" spans="1:33">
      <c r="A80" s="5">
        <v>5010</v>
      </c>
      <c r="B80" s="22" t="str">
        <f>INDEX(MeritBonus!$G$9:$G$500,MATCH('Performance Summary'!A80,MeritBonus!$F$9:$F$500,0))</f>
        <v>Angela Lacey</v>
      </c>
      <c r="C80" s="22">
        <f>INDEX(MeritBonus!$L$9:$L$500,MATCH('Performance Summary'!A80,MeritBonus!$F$9:$F$500,0))</f>
        <v>11308</v>
      </c>
      <c r="D80" s="22" t="str">
        <f>INDEX(MeritBonus!$M$9:$M$500,MATCH('Performance Summary'!A80,MeritBonus!$F$9:$F$500,0))</f>
        <v>Todd Falco</v>
      </c>
      <c r="E80" s="22" t="str">
        <f>INDEX(MeritBonus!$J$9:$J$500,MATCH('Performance Summary'!A80,MeritBonus!$F$9:$F$500,0))</f>
        <v>West</v>
      </c>
      <c r="F80" s="22" t="str">
        <f>INDEX(MeritBonus!$N$9:$N$500,MATCH('Performance Summary'!A80,MeritBonus!$F$9:$F$500,0))</f>
        <v>Active</v>
      </c>
      <c r="G80" s="22" t="str">
        <f>INDEX(MeritBonus!$AG$9:$AG$500,MATCH('Performance Summary'!A80,MeritBonus!$F$9:$F$500,0))</f>
        <v>Meets</v>
      </c>
      <c r="H80" s="32" t="str">
        <f>INDEX(MeritBonus!$CV$9:$CV$500,MATCH('Performance Summary'!A80,MeritBonus!$F$9:$F$500,0))</f>
        <v>67890;99485</v>
      </c>
      <c r="I80" s="32" t="str">
        <f t="shared" si="10"/>
        <v/>
      </c>
      <c r="J80" s="32" t="str">
        <f t="shared" si="11"/>
        <v>Angela Lacey</v>
      </c>
      <c r="K80" s="32" t="str">
        <f t="shared" si="12"/>
        <v/>
      </c>
      <c r="L80" s="32" t="str">
        <f t="shared" si="13"/>
        <v/>
      </c>
      <c r="M80" s="1"/>
      <c r="N80" s="198" t="str">
        <f t="shared" si="9"/>
        <v>Show</v>
      </c>
      <c r="O80" s="1"/>
      <c r="P80" s="1"/>
      <c r="Q80" s="1"/>
      <c r="R80" s="1"/>
      <c r="S80" s="1"/>
      <c r="T80" s="1"/>
      <c r="U80" s="1"/>
      <c r="V80" s="98"/>
      <c r="W80" s="1"/>
      <c r="X80" s="1"/>
      <c r="Y80" s="1"/>
      <c r="Z80" s="1"/>
      <c r="AA80" s="1"/>
      <c r="AB80" s="1"/>
      <c r="AC80" s="1"/>
      <c r="AD80" s="1"/>
      <c r="AE80" s="1"/>
      <c r="AF80" s="98"/>
      <c r="AG80" s="1"/>
    </row>
    <row r="81" spans="1:33">
      <c r="A81" s="5">
        <v>5012</v>
      </c>
      <c r="B81" s="22" t="str">
        <f>INDEX(MeritBonus!$G$9:$G$500,MATCH('Performance Summary'!A81,MeritBonus!$F$9:$F$500,0))</f>
        <v>Stanley Tolle</v>
      </c>
      <c r="C81" s="22">
        <f>INDEX(MeritBonus!$L$9:$L$500,MATCH('Performance Summary'!A81,MeritBonus!$F$9:$F$500,0))</f>
        <v>11308</v>
      </c>
      <c r="D81" s="22" t="str">
        <f>INDEX(MeritBonus!$M$9:$M$500,MATCH('Performance Summary'!A81,MeritBonus!$F$9:$F$500,0))</f>
        <v>Todd Falco</v>
      </c>
      <c r="E81" s="22" t="str">
        <f>INDEX(MeritBonus!$J$9:$J$500,MATCH('Performance Summary'!A81,MeritBonus!$F$9:$F$500,0))</f>
        <v>West</v>
      </c>
      <c r="F81" s="22" t="str">
        <f>INDEX(MeritBonus!$N$9:$N$500,MATCH('Performance Summary'!A81,MeritBonus!$F$9:$F$500,0))</f>
        <v>Active</v>
      </c>
      <c r="G81" s="22" t="str">
        <f>INDEX(MeritBonus!$AG$9:$AG$500,MATCH('Performance Summary'!A81,MeritBonus!$F$9:$F$500,0))</f>
        <v>Meets</v>
      </c>
      <c r="H81" s="32" t="str">
        <f>INDEX(MeritBonus!$CV$9:$CV$500,MATCH('Performance Summary'!A81,MeritBonus!$F$9:$F$500,0))</f>
        <v>67890;99485</v>
      </c>
      <c r="I81" s="32" t="str">
        <f t="shared" si="10"/>
        <v/>
      </c>
      <c r="J81" s="32" t="str">
        <f t="shared" si="11"/>
        <v>Stanley Tolle</v>
      </c>
      <c r="K81" s="32" t="str">
        <f t="shared" si="12"/>
        <v/>
      </c>
      <c r="L81" s="32" t="str">
        <f t="shared" si="13"/>
        <v/>
      </c>
      <c r="M81" s="1"/>
      <c r="N81" s="198" t="str">
        <f t="shared" si="9"/>
        <v>Show</v>
      </c>
      <c r="O81" s="1"/>
      <c r="P81" s="1"/>
      <c r="Q81" s="1"/>
      <c r="R81" s="1"/>
      <c r="S81" s="1"/>
      <c r="T81" s="1"/>
      <c r="U81" s="1"/>
      <c r="V81" s="98"/>
      <c r="W81" s="1"/>
      <c r="X81" s="1"/>
      <c r="Y81" s="1"/>
      <c r="Z81" s="1"/>
      <c r="AA81" s="1"/>
      <c r="AB81" s="1"/>
      <c r="AC81" s="1"/>
      <c r="AD81" s="1"/>
      <c r="AE81" s="1"/>
      <c r="AF81" s="98"/>
      <c r="AG81" s="1"/>
    </row>
    <row r="82" spans="1:33">
      <c r="A82" s="5">
        <v>5605</v>
      </c>
      <c r="B82" s="22" t="str">
        <f>INDEX(MeritBonus!$G$9:$G$500,MATCH('Performance Summary'!A82,MeritBonus!$F$9:$F$500,0))</f>
        <v>Chad Mcginley</v>
      </c>
      <c r="C82" s="22">
        <f>INDEX(MeritBonus!$L$9:$L$500,MATCH('Performance Summary'!A82,MeritBonus!$F$9:$F$500,0))</f>
        <v>11308</v>
      </c>
      <c r="D82" s="22" t="str">
        <f>INDEX(MeritBonus!$M$9:$M$500,MATCH('Performance Summary'!A82,MeritBonus!$F$9:$F$500,0))</f>
        <v>Todd Falco</v>
      </c>
      <c r="E82" s="22" t="str">
        <f>INDEX(MeritBonus!$J$9:$J$500,MATCH('Performance Summary'!A82,MeritBonus!$F$9:$F$500,0))</f>
        <v>West</v>
      </c>
      <c r="F82" s="22" t="str">
        <f>INDEX(MeritBonus!$N$9:$N$500,MATCH('Performance Summary'!A82,MeritBonus!$F$9:$F$500,0))</f>
        <v>Active</v>
      </c>
      <c r="G82" s="22" t="str">
        <f>INDEX(MeritBonus!$AG$9:$AG$500,MATCH('Performance Summary'!A82,MeritBonus!$F$9:$F$500,0))</f>
        <v>Meets</v>
      </c>
      <c r="H82" s="32" t="str">
        <f>INDEX(MeritBonus!$CV$9:$CV$500,MATCH('Performance Summary'!A82,MeritBonus!$F$9:$F$500,0))</f>
        <v>67890;99485</v>
      </c>
      <c r="I82" s="32" t="str">
        <f t="shared" si="10"/>
        <v/>
      </c>
      <c r="J82" s="32" t="str">
        <f t="shared" si="11"/>
        <v>Chad Mcginley</v>
      </c>
      <c r="K82" s="32" t="str">
        <f t="shared" si="12"/>
        <v/>
      </c>
      <c r="L82" s="32" t="str">
        <f t="shared" si="13"/>
        <v/>
      </c>
      <c r="M82" s="1"/>
      <c r="N82" s="198" t="str">
        <f t="shared" si="9"/>
        <v>Show</v>
      </c>
      <c r="O82" s="1"/>
      <c r="P82" s="1"/>
      <c r="Q82" s="1"/>
      <c r="R82" s="1"/>
      <c r="S82" s="1"/>
      <c r="T82" s="1"/>
      <c r="U82" s="1"/>
      <c r="V82" s="98"/>
      <c r="W82" s="1"/>
      <c r="X82" s="1"/>
      <c r="Y82" s="1"/>
      <c r="Z82" s="1"/>
      <c r="AA82" s="1"/>
      <c r="AB82" s="1"/>
      <c r="AC82" s="1"/>
      <c r="AD82" s="1"/>
      <c r="AE82" s="1"/>
      <c r="AF82" s="98"/>
      <c r="AG82" s="1"/>
    </row>
    <row r="83" spans="1:33">
      <c r="A83" s="5">
        <v>5609</v>
      </c>
      <c r="B83" s="22" t="str">
        <f>INDEX(MeritBonus!$G$9:$G$500,MATCH('Performance Summary'!A83,MeritBonus!$F$9:$F$500,0))</f>
        <v>Joann Bertram</v>
      </c>
      <c r="C83" s="22">
        <f>INDEX(MeritBonus!$L$9:$L$500,MATCH('Performance Summary'!A83,MeritBonus!$F$9:$F$500,0))</f>
        <v>11308</v>
      </c>
      <c r="D83" s="22" t="str">
        <f>INDEX(MeritBonus!$M$9:$M$500,MATCH('Performance Summary'!A83,MeritBonus!$F$9:$F$500,0))</f>
        <v>Todd Falco</v>
      </c>
      <c r="E83" s="22" t="str">
        <f>INDEX(MeritBonus!$J$9:$J$500,MATCH('Performance Summary'!A83,MeritBonus!$F$9:$F$500,0))</f>
        <v>West</v>
      </c>
      <c r="F83" s="22" t="str">
        <f>INDEX(MeritBonus!$N$9:$N$500,MATCH('Performance Summary'!A83,MeritBonus!$F$9:$F$500,0))</f>
        <v>Active</v>
      </c>
      <c r="G83" s="22" t="str">
        <f>INDEX(MeritBonus!$AG$9:$AG$500,MATCH('Performance Summary'!A83,MeritBonus!$F$9:$F$500,0))</f>
        <v>Meets</v>
      </c>
      <c r="H83" s="32" t="str">
        <f>INDEX(MeritBonus!$CV$9:$CV$500,MATCH('Performance Summary'!A83,MeritBonus!$F$9:$F$500,0))</f>
        <v>67890;99485</v>
      </c>
      <c r="I83" s="32" t="str">
        <f t="shared" si="10"/>
        <v/>
      </c>
      <c r="J83" s="32" t="str">
        <f t="shared" si="11"/>
        <v>Joann Bertram</v>
      </c>
      <c r="K83" s="32" t="str">
        <f t="shared" si="12"/>
        <v/>
      </c>
      <c r="L83" s="32" t="str">
        <f t="shared" si="13"/>
        <v/>
      </c>
      <c r="M83" s="1"/>
      <c r="N83" s="198" t="str">
        <f t="shared" si="9"/>
        <v>Show</v>
      </c>
      <c r="O83" s="1"/>
      <c r="P83" s="1"/>
      <c r="Q83" s="1"/>
      <c r="R83" s="1"/>
      <c r="S83" s="1"/>
      <c r="T83" s="1"/>
      <c r="U83" s="1"/>
      <c r="V83" s="98"/>
      <c r="W83" s="1"/>
      <c r="X83" s="1"/>
      <c r="Y83" s="1"/>
      <c r="Z83" s="1"/>
      <c r="AA83" s="1"/>
      <c r="AB83" s="1"/>
      <c r="AC83" s="1"/>
      <c r="AD83" s="1"/>
      <c r="AE83" s="1"/>
      <c r="AF83" s="98"/>
      <c r="AG83" s="1"/>
    </row>
    <row r="84" spans="1:33">
      <c r="A84" s="5">
        <v>5847</v>
      </c>
      <c r="B84" s="22" t="str">
        <f>INDEX(MeritBonus!$G$9:$G$500,MATCH('Performance Summary'!A84,MeritBonus!$F$9:$F$500,0))</f>
        <v>Lawrence Heim</v>
      </c>
      <c r="C84" s="22">
        <f>INDEX(MeritBonus!$L$9:$L$500,MATCH('Performance Summary'!A84,MeritBonus!$F$9:$F$500,0))</f>
        <v>11308</v>
      </c>
      <c r="D84" s="22" t="str">
        <f>INDEX(MeritBonus!$M$9:$M$500,MATCH('Performance Summary'!A84,MeritBonus!$F$9:$F$500,0))</f>
        <v>Todd Falco</v>
      </c>
      <c r="E84" s="22" t="str">
        <f>INDEX(MeritBonus!$J$9:$J$500,MATCH('Performance Summary'!A84,MeritBonus!$F$9:$F$500,0))</f>
        <v>West</v>
      </c>
      <c r="F84" s="22" t="str">
        <f>INDEX(MeritBonus!$N$9:$N$500,MATCH('Performance Summary'!A84,MeritBonus!$F$9:$F$500,0))</f>
        <v>Active</v>
      </c>
      <c r="G84" s="22" t="str">
        <f>INDEX(MeritBonus!$AG$9:$AG$500,MATCH('Performance Summary'!A84,MeritBonus!$F$9:$F$500,0))</f>
        <v>Meets</v>
      </c>
      <c r="H84" s="32" t="str">
        <f>INDEX(MeritBonus!$CV$9:$CV$500,MATCH('Performance Summary'!A84,MeritBonus!$F$9:$F$500,0))</f>
        <v>67890;99485</v>
      </c>
      <c r="I84" s="32" t="str">
        <f t="shared" si="10"/>
        <v/>
      </c>
      <c r="J84" s="32" t="str">
        <f t="shared" si="11"/>
        <v>Lawrence Heim</v>
      </c>
      <c r="K84" s="32" t="str">
        <f t="shared" si="12"/>
        <v/>
      </c>
      <c r="L84" s="32" t="str">
        <f t="shared" si="13"/>
        <v/>
      </c>
      <c r="M84" s="1"/>
      <c r="N84" s="198" t="str">
        <f t="shared" si="9"/>
        <v>Show</v>
      </c>
      <c r="O84" s="1"/>
      <c r="P84" s="1"/>
      <c r="Q84" s="1"/>
      <c r="R84" s="1"/>
      <c r="S84" s="1"/>
      <c r="T84" s="1"/>
      <c r="U84" s="1"/>
      <c r="V84" s="98"/>
      <c r="W84" s="1"/>
      <c r="X84" s="1"/>
      <c r="Y84" s="1"/>
      <c r="Z84" s="1"/>
      <c r="AA84" s="1"/>
      <c r="AB84" s="1"/>
      <c r="AC84" s="1"/>
      <c r="AD84" s="1"/>
      <c r="AE84" s="1"/>
      <c r="AF84" s="98"/>
      <c r="AG84" s="1"/>
    </row>
    <row r="85" spans="1:33">
      <c r="A85" s="5">
        <v>6049</v>
      </c>
      <c r="B85" s="22" t="str">
        <f>INDEX(MeritBonus!$G$9:$G$500,MATCH('Performance Summary'!A85,MeritBonus!$F$9:$F$500,0))</f>
        <v>John Montgomery</v>
      </c>
      <c r="C85" s="22">
        <f>INDEX(MeritBonus!$L$9:$L$500,MATCH('Performance Summary'!A85,MeritBonus!$F$9:$F$500,0))</f>
        <v>11308</v>
      </c>
      <c r="D85" s="22" t="str">
        <f>INDEX(MeritBonus!$M$9:$M$500,MATCH('Performance Summary'!A85,MeritBonus!$F$9:$F$500,0))</f>
        <v>Todd Falco</v>
      </c>
      <c r="E85" s="22" t="str">
        <f>INDEX(MeritBonus!$J$9:$J$500,MATCH('Performance Summary'!A85,MeritBonus!$F$9:$F$500,0))</f>
        <v>West</v>
      </c>
      <c r="F85" s="22" t="str">
        <f>INDEX(MeritBonus!$N$9:$N$500,MATCH('Performance Summary'!A85,MeritBonus!$F$9:$F$500,0))</f>
        <v>Active</v>
      </c>
      <c r="G85" s="22" t="str">
        <f>INDEX(MeritBonus!$AG$9:$AG$500,MATCH('Performance Summary'!A85,MeritBonus!$F$9:$F$500,0))</f>
        <v>Exceeds</v>
      </c>
      <c r="H85" s="32" t="str">
        <f>INDEX(MeritBonus!$CV$9:$CV$500,MATCH('Performance Summary'!A85,MeritBonus!$F$9:$F$500,0))</f>
        <v>67890;99485</v>
      </c>
      <c r="I85" s="32" t="str">
        <f t="shared" si="10"/>
        <v>John Montgomery</v>
      </c>
      <c r="J85" s="32" t="str">
        <f t="shared" si="11"/>
        <v/>
      </c>
      <c r="K85" s="32" t="str">
        <f t="shared" si="12"/>
        <v/>
      </c>
      <c r="L85" s="32" t="str">
        <f t="shared" si="13"/>
        <v/>
      </c>
      <c r="M85" s="1"/>
      <c r="N85" s="198" t="str">
        <f t="shared" si="9"/>
        <v>Show</v>
      </c>
      <c r="O85" s="1"/>
      <c r="P85" s="1"/>
      <c r="Q85" s="1"/>
      <c r="R85" s="1"/>
      <c r="S85" s="1"/>
      <c r="T85" s="1"/>
      <c r="U85" s="1"/>
      <c r="V85" s="98"/>
      <c r="W85" s="1"/>
      <c r="X85" s="1"/>
      <c r="Y85" s="1"/>
      <c r="Z85" s="1"/>
      <c r="AA85" s="1"/>
      <c r="AB85" s="1"/>
      <c r="AC85" s="1"/>
      <c r="AD85" s="1"/>
      <c r="AE85" s="1"/>
      <c r="AF85" s="98"/>
      <c r="AG85" s="1"/>
    </row>
    <row r="86" spans="1:33">
      <c r="A86" s="5">
        <v>6353</v>
      </c>
      <c r="B86" s="22" t="str">
        <f>INDEX(MeritBonus!$G$9:$G$500,MATCH('Performance Summary'!A86,MeritBonus!$F$9:$F$500,0))</f>
        <v>Roger Phinney</v>
      </c>
      <c r="C86" s="22">
        <f>INDEX(MeritBonus!$L$9:$L$500,MATCH('Performance Summary'!A86,MeritBonus!$F$9:$F$500,0))</f>
        <v>11308</v>
      </c>
      <c r="D86" s="22" t="str">
        <f>INDEX(MeritBonus!$M$9:$M$500,MATCH('Performance Summary'!A86,MeritBonus!$F$9:$F$500,0))</f>
        <v>Todd Falco</v>
      </c>
      <c r="E86" s="22" t="str">
        <f>INDEX(MeritBonus!$J$9:$J$500,MATCH('Performance Summary'!A86,MeritBonus!$F$9:$F$500,0))</f>
        <v>West</v>
      </c>
      <c r="F86" s="22" t="str">
        <f>INDEX(MeritBonus!$N$9:$N$500,MATCH('Performance Summary'!A86,MeritBonus!$F$9:$F$500,0))</f>
        <v>Active</v>
      </c>
      <c r="G86" s="22" t="str">
        <f>INDEX(MeritBonus!$AG$9:$AG$500,MATCH('Performance Summary'!A86,MeritBonus!$F$9:$F$500,0))</f>
        <v>Exceeds</v>
      </c>
      <c r="H86" s="32" t="str">
        <f>INDEX(MeritBonus!$CV$9:$CV$500,MATCH('Performance Summary'!A86,MeritBonus!$F$9:$F$500,0))</f>
        <v>67890;99485</v>
      </c>
      <c r="I86" s="32" t="str">
        <f t="shared" si="10"/>
        <v>Roger Phinney</v>
      </c>
      <c r="J86" s="32" t="str">
        <f t="shared" si="11"/>
        <v/>
      </c>
      <c r="K86" s="32" t="str">
        <f t="shared" si="12"/>
        <v/>
      </c>
      <c r="L86" s="32" t="str">
        <f t="shared" si="13"/>
        <v/>
      </c>
      <c r="M86" s="1"/>
      <c r="N86" s="198" t="str">
        <f t="shared" si="9"/>
        <v>Show</v>
      </c>
      <c r="O86" s="1"/>
      <c r="P86" s="1"/>
      <c r="Q86" s="1"/>
      <c r="R86" s="1"/>
      <c r="S86" s="1"/>
      <c r="T86" s="1"/>
      <c r="U86" s="1"/>
      <c r="V86" s="98"/>
      <c r="W86" s="1"/>
      <c r="X86" s="1"/>
      <c r="Y86" s="1"/>
      <c r="Z86" s="1"/>
      <c r="AA86" s="1"/>
      <c r="AB86" s="1"/>
      <c r="AC86" s="1"/>
      <c r="AD86" s="1"/>
      <c r="AE86" s="1"/>
      <c r="AF86" s="98"/>
      <c r="AG86" s="1"/>
    </row>
    <row r="87" spans="1:33">
      <c r="A87" s="5">
        <v>6439</v>
      </c>
      <c r="B87" s="22" t="str">
        <f>INDEX(MeritBonus!$G$9:$G$500,MATCH('Performance Summary'!A87,MeritBonus!$F$9:$F$500,0))</f>
        <v>Jeff Bashaw</v>
      </c>
      <c r="C87" s="22">
        <f>INDEX(MeritBonus!$L$9:$L$500,MATCH('Performance Summary'!A87,MeritBonus!$F$9:$F$500,0))</f>
        <v>11308</v>
      </c>
      <c r="D87" s="22" t="str">
        <f>INDEX(MeritBonus!$M$9:$M$500,MATCH('Performance Summary'!A87,MeritBonus!$F$9:$F$500,0))</f>
        <v>Todd Falco</v>
      </c>
      <c r="E87" s="22" t="str">
        <f>INDEX(MeritBonus!$J$9:$J$500,MATCH('Performance Summary'!A87,MeritBonus!$F$9:$F$500,0))</f>
        <v>West</v>
      </c>
      <c r="F87" s="22" t="str">
        <f>INDEX(MeritBonus!$N$9:$N$500,MATCH('Performance Summary'!A87,MeritBonus!$F$9:$F$500,0))</f>
        <v>Active</v>
      </c>
      <c r="G87" s="22" t="str">
        <f>INDEX(MeritBonus!$AG$9:$AG$500,MATCH('Performance Summary'!A87,MeritBonus!$F$9:$F$500,0))</f>
        <v>Meets</v>
      </c>
      <c r="H87" s="32" t="str">
        <f>INDEX(MeritBonus!$CV$9:$CV$500,MATCH('Performance Summary'!A87,MeritBonus!$F$9:$F$500,0))</f>
        <v>67890;99485</v>
      </c>
      <c r="I87" s="32" t="str">
        <f t="shared" si="10"/>
        <v/>
      </c>
      <c r="J87" s="32" t="str">
        <f t="shared" si="11"/>
        <v>Jeff Bashaw</v>
      </c>
      <c r="K87" s="32" t="str">
        <f t="shared" si="12"/>
        <v/>
      </c>
      <c r="L87" s="32" t="str">
        <f t="shared" si="13"/>
        <v/>
      </c>
      <c r="M87" s="1"/>
      <c r="N87" s="198" t="str">
        <f t="shared" si="9"/>
        <v>Show</v>
      </c>
      <c r="O87" s="1"/>
      <c r="P87" s="1"/>
      <c r="Q87" s="1"/>
      <c r="R87" s="1"/>
      <c r="S87" s="1"/>
      <c r="T87" s="1"/>
      <c r="U87" s="1"/>
      <c r="V87" s="98"/>
      <c r="W87" s="1"/>
      <c r="X87" s="1"/>
      <c r="Y87" s="1"/>
      <c r="Z87" s="1"/>
      <c r="AA87" s="1"/>
      <c r="AB87" s="1"/>
      <c r="AC87" s="1"/>
      <c r="AD87" s="1"/>
      <c r="AE87" s="1"/>
      <c r="AF87" s="98"/>
      <c r="AG87" s="1"/>
    </row>
    <row r="88" spans="1:33">
      <c r="A88" s="5">
        <v>6461</v>
      </c>
      <c r="B88" s="22" t="str">
        <f>INDEX(MeritBonus!$G$9:$G$500,MATCH('Performance Summary'!A88,MeritBonus!$F$9:$F$500,0))</f>
        <v>Maryann Salgado</v>
      </c>
      <c r="C88" s="22">
        <f>INDEX(MeritBonus!$L$9:$L$500,MATCH('Performance Summary'!A88,MeritBonus!$F$9:$F$500,0))</f>
        <v>11308</v>
      </c>
      <c r="D88" s="22" t="str">
        <f>INDEX(MeritBonus!$M$9:$M$500,MATCH('Performance Summary'!A88,MeritBonus!$F$9:$F$500,0))</f>
        <v>Todd Falco</v>
      </c>
      <c r="E88" s="22" t="str">
        <f>INDEX(MeritBonus!$J$9:$J$500,MATCH('Performance Summary'!A88,MeritBonus!$F$9:$F$500,0))</f>
        <v>West</v>
      </c>
      <c r="F88" s="22" t="str">
        <f>INDEX(MeritBonus!$N$9:$N$500,MATCH('Performance Summary'!A88,MeritBonus!$F$9:$F$500,0))</f>
        <v>Active</v>
      </c>
      <c r="G88" s="22" t="str">
        <f>INDEX(MeritBonus!$AG$9:$AG$500,MATCH('Performance Summary'!A88,MeritBonus!$F$9:$F$500,0))</f>
        <v>Below</v>
      </c>
      <c r="H88" s="32" t="str">
        <f>INDEX(MeritBonus!$CV$9:$CV$500,MATCH('Performance Summary'!A88,MeritBonus!$F$9:$F$500,0))</f>
        <v>67890;99485</v>
      </c>
      <c r="I88" s="32" t="str">
        <f t="shared" si="10"/>
        <v/>
      </c>
      <c r="J88" s="32" t="str">
        <f t="shared" si="11"/>
        <v/>
      </c>
      <c r="K88" s="32" t="str">
        <f t="shared" si="12"/>
        <v>Maryann Salgado</v>
      </c>
      <c r="L88" s="32" t="str">
        <f t="shared" si="13"/>
        <v/>
      </c>
      <c r="M88" s="1"/>
      <c r="N88" s="198" t="str">
        <f t="shared" si="9"/>
        <v>Show</v>
      </c>
      <c r="O88" s="1"/>
      <c r="P88" s="1"/>
      <c r="Q88" s="1"/>
      <c r="R88" s="1"/>
      <c r="S88" s="1"/>
      <c r="T88" s="1"/>
      <c r="U88" s="1"/>
      <c r="V88" s="98"/>
      <c r="W88" s="1"/>
      <c r="X88" s="1"/>
      <c r="Y88" s="1"/>
      <c r="Z88" s="1"/>
      <c r="AA88" s="1"/>
      <c r="AB88" s="1"/>
      <c r="AC88" s="1"/>
      <c r="AD88" s="1"/>
      <c r="AE88" s="1"/>
      <c r="AF88" s="98"/>
      <c r="AG88" s="1"/>
    </row>
    <row r="89" spans="1:33">
      <c r="A89" s="5">
        <v>6563</v>
      </c>
      <c r="B89" s="22" t="str">
        <f>INDEX(MeritBonus!$G$9:$G$500,MATCH('Performance Summary'!A89,MeritBonus!$F$9:$F$500,0))</f>
        <v>Robert Stackhouse</v>
      </c>
      <c r="C89" s="22">
        <f>INDEX(MeritBonus!$L$9:$L$500,MATCH('Performance Summary'!A89,MeritBonus!$F$9:$F$500,0))</f>
        <v>29326</v>
      </c>
      <c r="D89" s="22" t="str">
        <f>INDEX(MeritBonus!$M$9:$M$500,MATCH('Performance Summary'!A89,MeritBonus!$F$9:$F$500,0))</f>
        <v>Maxine Mceachern</v>
      </c>
      <c r="E89" s="22" t="str">
        <f>INDEX(MeritBonus!$J$9:$J$500,MATCH('Performance Summary'!A89,MeritBonus!$F$9:$F$500,0))</f>
        <v>Midwest</v>
      </c>
      <c r="F89" s="22" t="str">
        <f>INDEX(MeritBonus!$N$9:$N$500,MATCH('Performance Summary'!A89,MeritBonus!$F$9:$F$500,0))</f>
        <v>Active</v>
      </c>
      <c r="G89" s="22" t="str">
        <f>INDEX(MeritBonus!$AG$9:$AG$500,MATCH('Performance Summary'!A89,MeritBonus!$F$9:$F$500,0))</f>
        <v>Exceeds</v>
      </c>
      <c r="H89" s="32" t="str">
        <f>INDEX(MeritBonus!$CV$9:$CV$500,MATCH('Performance Summary'!A89,MeritBonus!$F$9:$F$500,0))</f>
        <v>67890;86672</v>
      </c>
      <c r="I89" s="32" t="str">
        <f t="shared" si="10"/>
        <v>Robert Stackhouse</v>
      </c>
      <c r="J89" s="32" t="str">
        <f t="shared" si="11"/>
        <v/>
      </c>
      <c r="K89" s="32" t="str">
        <f t="shared" si="12"/>
        <v/>
      </c>
      <c r="L89" s="32" t="str">
        <f t="shared" si="13"/>
        <v/>
      </c>
      <c r="M89" s="1"/>
      <c r="N89" s="198" t="str">
        <f t="shared" si="9"/>
        <v>Show</v>
      </c>
      <c r="O89" s="1"/>
      <c r="P89" s="1"/>
      <c r="Q89" s="1"/>
      <c r="R89" s="1"/>
      <c r="S89" s="1"/>
      <c r="T89" s="1"/>
      <c r="U89" s="1"/>
      <c r="V89" s="98"/>
      <c r="W89" s="1"/>
      <c r="X89" s="1"/>
      <c r="Y89" s="1"/>
      <c r="Z89" s="1"/>
      <c r="AA89" s="1"/>
      <c r="AB89" s="1"/>
      <c r="AC89" s="1"/>
      <c r="AD89" s="1"/>
      <c r="AE89" s="1"/>
      <c r="AF89" s="98"/>
      <c r="AG89" s="1"/>
    </row>
    <row r="90" spans="1:33">
      <c r="A90" s="5">
        <v>6654</v>
      </c>
      <c r="B90" s="22" t="str">
        <f>INDEX(MeritBonus!$G$9:$G$500,MATCH('Performance Summary'!A90,MeritBonus!$F$9:$F$500,0))</f>
        <v>Geraldine Beck</v>
      </c>
      <c r="C90" s="22">
        <f>INDEX(MeritBonus!$L$9:$L$500,MATCH('Performance Summary'!A90,MeritBonus!$F$9:$F$500,0))</f>
        <v>11498</v>
      </c>
      <c r="D90" s="22" t="str">
        <f>INDEX(MeritBonus!$M$9:$M$500,MATCH('Performance Summary'!A90,MeritBonus!$F$9:$F$500,0))</f>
        <v>John Jaworski</v>
      </c>
      <c r="E90" s="22" t="str">
        <f>INDEX(MeritBonus!$J$9:$J$500,MATCH('Performance Summary'!A90,MeritBonus!$F$9:$F$500,0))</f>
        <v>South</v>
      </c>
      <c r="F90" s="22" t="str">
        <f>INDEX(MeritBonus!$N$9:$N$500,MATCH('Performance Summary'!A90,MeritBonus!$F$9:$F$500,0))</f>
        <v>Active</v>
      </c>
      <c r="G90" s="22" t="str">
        <f>INDEX(MeritBonus!$AG$9:$AG$500,MATCH('Performance Summary'!A90,MeritBonus!$F$9:$F$500,0))</f>
        <v>Exceeds</v>
      </c>
      <c r="H90" s="32" t="str">
        <f>INDEX(MeritBonus!$CV$9:$CV$500,MATCH('Performance Summary'!A90,MeritBonus!$F$9:$F$500,0))</f>
        <v>99485;36523</v>
      </c>
      <c r="I90" s="32" t="str">
        <f t="shared" si="10"/>
        <v>Geraldine Beck</v>
      </c>
      <c r="J90" s="32" t="str">
        <f t="shared" si="11"/>
        <v/>
      </c>
      <c r="K90" s="32" t="str">
        <f t="shared" si="12"/>
        <v/>
      </c>
      <c r="L90" s="32" t="str">
        <f t="shared" si="13"/>
        <v/>
      </c>
      <c r="M90" s="1"/>
      <c r="N90" s="198" t="str">
        <f t="shared" si="9"/>
        <v>Show</v>
      </c>
      <c r="O90" s="1"/>
      <c r="P90" s="1"/>
      <c r="Q90" s="1"/>
      <c r="R90" s="1"/>
      <c r="S90" s="1"/>
      <c r="T90" s="1"/>
      <c r="U90" s="1"/>
      <c r="V90" s="98"/>
      <c r="W90" s="1"/>
      <c r="X90" s="1"/>
      <c r="Y90" s="1"/>
      <c r="Z90" s="1"/>
      <c r="AA90" s="1"/>
      <c r="AB90" s="1"/>
      <c r="AC90" s="1"/>
      <c r="AD90" s="1"/>
      <c r="AE90" s="1"/>
      <c r="AF90" s="98"/>
      <c r="AG90" s="1"/>
    </row>
    <row r="91" spans="1:33">
      <c r="A91" s="5">
        <v>6665</v>
      </c>
      <c r="B91" s="22" t="str">
        <f>INDEX(MeritBonus!$G$9:$G$500,MATCH('Performance Summary'!A91,MeritBonus!$F$9:$F$500,0))</f>
        <v>Emily Conner</v>
      </c>
      <c r="C91" s="22">
        <f>INDEX(MeritBonus!$L$9:$L$500,MATCH('Performance Summary'!A91,MeritBonus!$F$9:$F$500,0))</f>
        <v>29269</v>
      </c>
      <c r="D91" s="22" t="str">
        <f>INDEX(MeritBonus!$M$9:$M$500,MATCH('Performance Summary'!A91,MeritBonus!$F$9:$F$500,0))</f>
        <v>Leonard Schell</v>
      </c>
      <c r="E91" s="22" t="str">
        <f>INDEX(MeritBonus!$J$9:$J$500,MATCH('Performance Summary'!A91,MeritBonus!$F$9:$F$500,0))</f>
        <v>West</v>
      </c>
      <c r="F91" s="22" t="str">
        <f>INDEX(MeritBonus!$N$9:$N$500,MATCH('Performance Summary'!A91,MeritBonus!$F$9:$F$500,0))</f>
        <v>Active</v>
      </c>
      <c r="G91" s="22" t="str">
        <f>INDEX(MeritBonus!$AG$9:$AG$500,MATCH('Performance Summary'!A91,MeritBonus!$F$9:$F$500,0))</f>
        <v>Meets</v>
      </c>
      <c r="H91" s="32" t="str">
        <f>INDEX(MeritBonus!$CV$9:$CV$500,MATCH('Performance Summary'!A91,MeritBonus!$F$9:$F$500,0))</f>
        <v>67890;86672</v>
      </c>
      <c r="I91" s="32" t="str">
        <f t="shared" si="10"/>
        <v/>
      </c>
      <c r="J91" s="32" t="str">
        <f t="shared" si="11"/>
        <v>Emily Conner</v>
      </c>
      <c r="K91" s="32" t="str">
        <f t="shared" si="12"/>
        <v/>
      </c>
      <c r="L91" s="32" t="str">
        <f t="shared" si="13"/>
        <v/>
      </c>
      <c r="M91" s="1"/>
      <c r="N91" s="198" t="str">
        <f t="shared" si="9"/>
        <v>Show</v>
      </c>
      <c r="O91" s="1"/>
      <c r="P91" s="1"/>
      <c r="Q91" s="1"/>
      <c r="R91" s="1"/>
      <c r="S91" s="1"/>
      <c r="T91" s="1"/>
      <c r="U91" s="1"/>
      <c r="V91" s="98"/>
      <c r="W91" s="1"/>
      <c r="X91" s="1"/>
      <c r="Y91" s="1"/>
      <c r="Z91" s="1"/>
      <c r="AA91" s="1"/>
      <c r="AB91" s="1"/>
      <c r="AC91" s="1"/>
      <c r="AD91" s="1"/>
      <c r="AE91" s="1"/>
      <c r="AF91" s="98"/>
      <c r="AG91" s="1"/>
    </row>
    <row r="92" spans="1:33">
      <c r="A92" s="5">
        <v>6686</v>
      </c>
      <c r="B92" s="22" t="str">
        <f>INDEX(MeritBonus!$G$9:$G$500,MATCH('Performance Summary'!A92,MeritBonus!$F$9:$F$500,0))</f>
        <v>Sean Culpepper</v>
      </c>
      <c r="C92" s="22">
        <f>INDEX(MeritBonus!$L$9:$L$500,MATCH('Performance Summary'!A92,MeritBonus!$F$9:$F$500,0))</f>
        <v>11308</v>
      </c>
      <c r="D92" s="22" t="str">
        <f>INDEX(MeritBonus!$M$9:$M$500,MATCH('Performance Summary'!A92,MeritBonus!$F$9:$F$500,0))</f>
        <v>Todd Falco</v>
      </c>
      <c r="E92" s="22" t="str">
        <f>INDEX(MeritBonus!$J$9:$J$500,MATCH('Performance Summary'!A92,MeritBonus!$F$9:$F$500,0))</f>
        <v>West</v>
      </c>
      <c r="F92" s="22" t="str">
        <f>INDEX(MeritBonus!$N$9:$N$500,MATCH('Performance Summary'!A92,MeritBonus!$F$9:$F$500,0))</f>
        <v>Active</v>
      </c>
      <c r="G92" s="22" t="str">
        <f>INDEX(MeritBonus!$AG$9:$AG$500,MATCH('Performance Summary'!A92,MeritBonus!$F$9:$F$500,0))</f>
        <v>Meets</v>
      </c>
      <c r="H92" s="32" t="str">
        <f>INDEX(MeritBonus!$CV$9:$CV$500,MATCH('Performance Summary'!A92,MeritBonus!$F$9:$F$500,0))</f>
        <v>67890;99485</v>
      </c>
      <c r="I92" s="32" t="str">
        <f t="shared" si="10"/>
        <v/>
      </c>
      <c r="J92" s="32" t="str">
        <f t="shared" si="11"/>
        <v>Sean Culpepper</v>
      </c>
      <c r="K92" s="32" t="str">
        <f t="shared" si="12"/>
        <v/>
      </c>
      <c r="L92" s="32" t="str">
        <f t="shared" si="13"/>
        <v/>
      </c>
      <c r="M92" s="1"/>
      <c r="N92" s="198" t="str">
        <f t="shared" si="9"/>
        <v>Show</v>
      </c>
      <c r="O92" s="1"/>
      <c r="P92" s="1"/>
      <c r="Q92" s="1"/>
      <c r="R92" s="1"/>
      <c r="S92" s="1"/>
      <c r="T92" s="1"/>
      <c r="U92" s="1"/>
      <c r="V92" s="98"/>
      <c r="W92" s="1"/>
      <c r="X92" s="1"/>
      <c r="Y92" s="1"/>
      <c r="Z92" s="1"/>
      <c r="AA92" s="1"/>
      <c r="AB92" s="1"/>
      <c r="AC92" s="1"/>
      <c r="AD92" s="1"/>
      <c r="AE92" s="1"/>
      <c r="AF92" s="98"/>
      <c r="AG92" s="1"/>
    </row>
    <row r="93" spans="1:33">
      <c r="A93" s="5">
        <v>6701</v>
      </c>
      <c r="B93" s="22" t="str">
        <f>INDEX(MeritBonus!$G$9:$G$500,MATCH('Performance Summary'!A93,MeritBonus!$F$9:$F$500,0))</f>
        <v>Eva Hoch</v>
      </c>
      <c r="C93" s="22">
        <f>INDEX(MeritBonus!$L$9:$L$500,MATCH('Performance Summary'!A93,MeritBonus!$F$9:$F$500,0))</f>
        <v>29271</v>
      </c>
      <c r="D93" s="22" t="str">
        <f>INDEX(MeritBonus!$M$9:$M$500,MATCH('Performance Summary'!A93,MeritBonus!$F$9:$F$500,0))</f>
        <v>Eugene Coe</v>
      </c>
      <c r="E93" s="22" t="str">
        <f>INDEX(MeritBonus!$J$9:$J$500,MATCH('Performance Summary'!A93,MeritBonus!$F$9:$F$500,0))</f>
        <v>West</v>
      </c>
      <c r="F93" s="22" t="str">
        <f>INDEX(MeritBonus!$N$9:$N$500,MATCH('Performance Summary'!A93,MeritBonus!$F$9:$F$500,0))</f>
        <v>Active</v>
      </c>
      <c r="G93" s="22" t="str">
        <f>INDEX(MeritBonus!$AG$9:$AG$500,MATCH('Performance Summary'!A93,MeritBonus!$F$9:$F$500,0))</f>
        <v>Exceeds</v>
      </c>
      <c r="H93" s="32" t="str">
        <f>INDEX(MeritBonus!$CV$9:$CV$500,MATCH('Performance Summary'!A93,MeritBonus!$F$9:$F$500,0))</f>
        <v>86672;36523</v>
      </c>
      <c r="I93" s="32" t="str">
        <f t="shared" si="10"/>
        <v>Eva Hoch</v>
      </c>
      <c r="J93" s="32" t="str">
        <f t="shared" si="11"/>
        <v/>
      </c>
      <c r="K93" s="32" t="str">
        <f t="shared" si="12"/>
        <v/>
      </c>
      <c r="L93" s="32" t="str">
        <f t="shared" si="13"/>
        <v/>
      </c>
      <c r="M93" s="1"/>
      <c r="N93" s="198" t="str">
        <f t="shared" si="9"/>
        <v>Show</v>
      </c>
      <c r="O93" s="1"/>
      <c r="P93" s="1"/>
      <c r="Q93" s="1"/>
      <c r="R93" s="1"/>
      <c r="S93" s="1"/>
      <c r="T93" s="1"/>
      <c r="U93" s="1"/>
      <c r="V93" s="98"/>
      <c r="W93" s="1"/>
      <c r="X93" s="1"/>
      <c r="Y93" s="1"/>
      <c r="Z93" s="1"/>
      <c r="AA93" s="1"/>
      <c r="AB93" s="1"/>
      <c r="AC93" s="1"/>
      <c r="AD93" s="1"/>
      <c r="AE93" s="1"/>
      <c r="AF93" s="98"/>
      <c r="AG93" s="1"/>
    </row>
    <row r="94" spans="1:33">
      <c r="A94" s="5">
        <v>6729</v>
      </c>
      <c r="B94" s="22" t="str">
        <f>INDEX(MeritBonus!$G$9:$G$500,MATCH('Performance Summary'!A94,MeritBonus!$F$9:$F$500,0))</f>
        <v>Richard Delong</v>
      </c>
      <c r="C94" s="22">
        <f>INDEX(MeritBonus!$L$9:$L$500,MATCH('Performance Summary'!A94,MeritBonus!$F$9:$F$500,0))</f>
        <v>29271</v>
      </c>
      <c r="D94" s="22" t="str">
        <f>INDEX(MeritBonus!$M$9:$M$500,MATCH('Performance Summary'!A94,MeritBonus!$F$9:$F$500,0))</f>
        <v>Eugene Coe</v>
      </c>
      <c r="E94" s="22" t="str">
        <f>INDEX(MeritBonus!$J$9:$J$500,MATCH('Performance Summary'!A94,MeritBonus!$F$9:$F$500,0))</f>
        <v>West</v>
      </c>
      <c r="F94" s="22" t="str">
        <f>INDEX(MeritBonus!$N$9:$N$500,MATCH('Performance Summary'!A94,MeritBonus!$F$9:$F$500,0))</f>
        <v>Active</v>
      </c>
      <c r="G94" s="22" t="str">
        <f>INDEX(MeritBonus!$AG$9:$AG$500,MATCH('Performance Summary'!A94,MeritBonus!$F$9:$F$500,0))</f>
        <v>Below</v>
      </c>
      <c r="H94" s="32" t="str">
        <f>INDEX(MeritBonus!$CV$9:$CV$500,MATCH('Performance Summary'!A94,MeritBonus!$F$9:$F$500,0))</f>
        <v>86672;36523</v>
      </c>
      <c r="I94" s="32" t="str">
        <f t="shared" si="10"/>
        <v/>
      </c>
      <c r="J94" s="32" t="str">
        <f t="shared" si="11"/>
        <v/>
      </c>
      <c r="K94" s="32" t="str">
        <f t="shared" si="12"/>
        <v>Richard Delong</v>
      </c>
      <c r="L94" s="32" t="str">
        <f t="shared" si="13"/>
        <v/>
      </c>
      <c r="M94" s="1"/>
      <c r="N94" s="198" t="str">
        <f t="shared" si="9"/>
        <v>Show</v>
      </c>
      <c r="O94" s="1"/>
      <c r="P94" s="1"/>
      <c r="Q94" s="1"/>
      <c r="R94" s="1"/>
      <c r="S94" s="1"/>
      <c r="T94" s="1"/>
      <c r="U94" s="1"/>
      <c r="V94" s="98"/>
      <c r="W94" s="1"/>
      <c r="X94" s="1"/>
      <c r="Y94" s="1"/>
      <c r="Z94" s="1"/>
      <c r="AA94" s="1"/>
      <c r="AB94" s="1"/>
      <c r="AC94" s="1"/>
      <c r="AD94" s="1"/>
      <c r="AE94" s="1"/>
      <c r="AF94" s="98"/>
      <c r="AG94" s="1"/>
    </row>
    <row r="95" spans="1:33">
      <c r="A95" s="5">
        <v>6775</v>
      </c>
      <c r="B95" s="22" t="str">
        <f>INDEX(MeritBonus!$G$9:$G$500,MATCH('Performance Summary'!A95,MeritBonus!$F$9:$F$500,0))</f>
        <v>Renee Moeller</v>
      </c>
      <c r="C95" s="22">
        <f>INDEX(MeritBonus!$L$9:$L$500,MATCH('Performance Summary'!A95,MeritBonus!$F$9:$F$500,0))</f>
        <v>29269</v>
      </c>
      <c r="D95" s="22" t="str">
        <f>INDEX(MeritBonus!$M$9:$M$500,MATCH('Performance Summary'!A95,MeritBonus!$F$9:$F$500,0))</f>
        <v>Leonard Schell</v>
      </c>
      <c r="E95" s="22" t="str">
        <f>INDEX(MeritBonus!$J$9:$J$500,MATCH('Performance Summary'!A95,MeritBonus!$F$9:$F$500,0))</f>
        <v>West</v>
      </c>
      <c r="F95" s="22" t="str">
        <f>INDEX(MeritBonus!$N$9:$N$500,MATCH('Performance Summary'!A95,MeritBonus!$F$9:$F$500,0))</f>
        <v>Active</v>
      </c>
      <c r="G95" s="22" t="str">
        <f>INDEX(MeritBonus!$AG$9:$AG$500,MATCH('Performance Summary'!A95,MeritBonus!$F$9:$F$500,0))</f>
        <v>Meets</v>
      </c>
      <c r="H95" s="32" t="str">
        <f>INDEX(MeritBonus!$CV$9:$CV$500,MATCH('Performance Summary'!A95,MeritBonus!$F$9:$F$500,0))</f>
        <v>67890;86672</v>
      </c>
      <c r="I95" s="32" t="str">
        <f t="shared" si="10"/>
        <v/>
      </c>
      <c r="J95" s="32" t="str">
        <f t="shared" si="11"/>
        <v>Renee Moeller</v>
      </c>
      <c r="K95" s="32" t="str">
        <f t="shared" si="12"/>
        <v/>
      </c>
      <c r="L95" s="32" t="str">
        <f t="shared" si="13"/>
        <v/>
      </c>
      <c r="M95" s="1"/>
      <c r="N95" s="198" t="str">
        <f t="shared" si="9"/>
        <v>Show</v>
      </c>
      <c r="O95" s="1"/>
      <c r="P95" s="1"/>
      <c r="Q95" s="1"/>
      <c r="R95" s="1"/>
      <c r="S95" s="1"/>
      <c r="T95" s="1"/>
      <c r="U95" s="1"/>
      <c r="V95" s="98"/>
      <c r="W95" s="1"/>
      <c r="X95" s="1"/>
      <c r="Y95" s="1"/>
      <c r="Z95" s="1"/>
      <c r="AA95" s="1"/>
      <c r="AB95" s="1"/>
      <c r="AC95" s="1"/>
      <c r="AD95" s="1"/>
      <c r="AE95" s="1"/>
      <c r="AF95" s="98"/>
      <c r="AG95" s="1"/>
    </row>
    <row r="96" spans="1:33">
      <c r="A96" s="5">
        <v>6799</v>
      </c>
      <c r="B96" s="22" t="str">
        <f>INDEX(MeritBonus!$G$9:$G$500,MATCH('Performance Summary'!A96,MeritBonus!$F$9:$F$500,0))</f>
        <v>Amber Neel</v>
      </c>
      <c r="C96" s="22">
        <f>INDEX(MeritBonus!$L$9:$L$500,MATCH('Performance Summary'!A96,MeritBonus!$F$9:$F$500,0))</f>
        <v>29271</v>
      </c>
      <c r="D96" s="22" t="str">
        <f>INDEX(MeritBonus!$M$9:$M$500,MATCH('Performance Summary'!A96,MeritBonus!$F$9:$F$500,0))</f>
        <v>Eugene Coe</v>
      </c>
      <c r="E96" s="22" t="str">
        <f>INDEX(MeritBonus!$J$9:$J$500,MATCH('Performance Summary'!A96,MeritBonus!$F$9:$F$500,0))</f>
        <v>West</v>
      </c>
      <c r="F96" s="22" t="str">
        <f>INDEX(MeritBonus!$N$9:$N$500,MATCH('Performance Summary'!A96,MeritBonus!$F$9:$F$500,0))</f>
        <v>Active</v>
      </c>
      <c r="G96" s="22" t="str">
        <f>INDEX(MeritBonus!$AG$9:$AG$500,MATCH('Performance Summary'!A96,MeritBonus!$F$9:$F$500,0))</f>
        <v>Meets</v>
      </c>
      <c r="H96" s="32" t="str">
        <f>INDEX(MeritBonus!$CV$9:$CV$500,MATCH('Performance Summary'!A96,MeritBonus!$F$9:$F$500,0))</f>
        <v>86672;36523</v>
      </c>
      <c r="I96" s="32" t="str">
        <f t="shared" si="10"/>
        <v/>
      </c>
      <c r="J96" s="32" t="str">
        <f t="shared" si="11"/>
        <v>Amber Neel</v>
      </c>
      <c r="K96" s="32" t="str">
        <f t="shared" si="12"/>
        <v/>
      </c>
      <c r="L96" s="32" t="str">
        <f t="shared" si="13"/>
        <v/>
      </c>
      <c r="M96" s="1"/>
      <c r="N96" s="198" t="str">
        <f t="shared" si="9"/>
        <v>Show</v>
      </c>
      <c r="O96" s="1"/>
      <c r="P96" s="1"/>
      <c r="Q96" s="1"/>
      <c r="R96" s="1"/>
      <c r="S96" s="1"/>
      <c r="T96" s="1"/>
      <c r="U96" s="1"/>
      <c r="V96" s="98"/>
      <c r="W96" s="1"/>
      <c r="X96" s="1"/>
      <c r="Y96" s="1"/>
      <c r="Z96" s="1"/>
      <c r="AA96" s="1"/>
      <c r="AB96" s="1"/>
      <c r="AC96" s="1"/>
      <c r="AD96" s="1"/>
      <c r="AE96" s="1"/>
      <c r="AF96" s="98"/>
      <c r="AG96" s="1"/>
    </row>
    <row r="97" spans="1:33">
      <c r="A97" s="5">
        <v>6938</v>
      </c>
      <c r="B97" s="22" t="str">
        <f>INDEX(MeritBonus!$G$9:$G$500,MATCH('Performance Summary'!A97,MeritBonus!$F$9:$F$500,0))</f>
        <v>Dale Nunley</v>
      </c>
      <c r="C97" s="22">
        <f>INDEX(MeritBonus!$L$9:$L$500,MATCH('Performance Summary'!A97,MeritBonus!$F$9:$F$500,0))</f>
        <v>29342</v>
      </c>
      <c r="D97" s="22" t="str">
        <f>INDEX(MeritBonus!$M$9:$M$500,MATCH('Performance Summary'!A97,MeritBonus!$F$9:$F$500,0))</f>
        <v>Steven Van</v>
      </c>
      <c r="E97" s="22" t="str">
        <f>INDEX(MeritBonus!$J$9:$J$500,MATCH('Performance Summary'!A97,MeritBonus!$F$9:$F$500,0))</f>
        <v>Midwest</v>
      </c>
      <c r="F97" s="22" t="str">
        <f>INDEX(MeritBonus!$N$9:$N$500,MATCH('Performance Summary'!A97,MeritBonus!$F$9:$F$500,0))</f>
        <v>Active</v>
      </c>
      <c r="G97" s="22" t="str">
        <f>INDEX(MeritBonus!$AG$9:$AG$500,MATCH('Performance Summary'!A97,MeritBonus!$F$9:$F$500,0))</f>
        <v>Meets</v>
      </c>
      <c r="H97" s="32" t="str">
        <f>INDEX(MeritBonus!$CV$9:$CV$500,MATCH('Performance Summary'!A97,MeritBonus!$F$9:$F$500,0))</f>
        <v>67890;86672</v>
      </c>
      <c r="I97" s="32" t="str">
        <f t="shared" si="10"/>
        <v/>
      </c>
      <c r="J97" s="32" t="str">
        <f t="shared" si="11"/>
        <v>Dale Nunley</v>
      </c>
      <c r="K97" s="32" t="str">
        <f t="shared" si="12"/>
        <v/>
      </c>
      <c r="L97" s="32" t="str">
        <f t="shared" si="13"/>
        <v/>
      </c>
      <c r="M97" s="1"/>
      <c r="N97" s="198" t="str">
        <f t="shared" si="9"/>
        <v>Show</v>
      </c>
      <c r="O97" s="1"/>
      <c r="P97" s="1"/>
      <c r="Q97" s="1"/>
      <c r="R97" s="1"/>
      <c r="S97" s="1"/>
      <c r="T97" s="1"/>
      <c r="U97" s="1"/>
      <c r="V97" s="98"/>
      <c r="W97" s="1"/>
      <c r="X97" s="1"/>
      <c r="Y97" s="1"/>
      <c r="Z97" s="1"/>
      <c r="AA97" s="1"/>
      <c r="AB97" s="1"/>
      <c r="AC97" s="1"/>
      <c r="AD97" s="1"/>
      <c r="AE97" s="1"/>
      <c r="AF97" s="98"/>
      <c r="AG97" s="1"/>
    </row>
    <row r="98" spans="1:33">
      <c r="A98" s="5">
        <v>6947</v>
      </c>
      <c r="B98" s="22" t="str">
        <f>INDEX(MeritBonus!$G$9:$G$500,MATCH('Performance Summary'!A98,MeritBonus!$F$9:$F$500,0))</f>
        <v>Raymond Lankford</v>
      </c>
      <c r="C98" s="22">
        <f>INDEX(MeritBonus!$L$9:$L$500,MATCH('Performance Summary'!A98,MeritBonus!$F$9:$F$500,0))</f>
        <v>29342</v>
      </c>
      <c r="D98" s="22" t="str">
        <f>INDEX(MeritBonus!$M$9:$M$500,MATCH('Performance Summary'!A98,MeritBonus!$F$9:$F$500,0))</f>
        <v>Steven Van</v>
      </c>
      <c r="E98" s="22" t="str">
        <f>INDEX(MeritBonus!$J$9:$J$500,MATCH('Performance Summary'!A98,MeritBonus!$F$9:$F$500,0))</f>
        <v>Midwest</v>
      </c>
      <c r="F98" s="22" t="str">
        <f>INDEX(MeritBonus!$N$9:$N$500,MATCH('Performance Summary'!A98,MeritBonus!$F$9:$F$500,0))</f>
        <v>Active</v>
      </c>
      <c r="G98" s="22" t="str">
        <f>INDEX(MeritBonus!$AG$9:$AG$500,MATCH('Performance Summary'!A98,MeritBonus!$F$9:$F$500,0))</f>
        <v>Meets</v>
      </c>
      <c r="H98" s="32" t="str">
        <f>INDEX(MeritBonus!$CV$9:$CV$500,MATCH('Performance Summary'!A98,MeritBonus!$F$9:$F$500,0))</f>
        <v>67890;86672</v>
      </c>
      <c r="I98" s="32" t="str">
        <f t="shared" si="10"/>
        <v/>
      </c>
      <c r="J98" s="32" t="str">
        <f t="shared" si="11"/>
        <v>Raymond Lankford</v>
      </c>
      <c r="K98" s="32" t="str">
        <f t="shared" si="12"/>
        <v/>
      </c>
      <c r="L98" s="32" t="str">
        <f t="shared" si="13"/>
        <v/>
      </c>
      <c r="M98" s="1"/>
      <c r="N98" s="198" t="str">
        <f t="shared" si="9"/>
        <v>Show</v>
      </c>
      <c r="O98" s="1"/>
      <c r="P98" s="1"/>
      <c r="Q98" s="1"/>
      <c r="R98" s="1"/>
      <c r="S98" s="1"/>
      <c r="T98" s="1"/>
      <c r="U98" s="1"/>
      <c r="V98" s="98"/>
      <c r="W98" s="1"/>
      <c r="X98" s="1"/>
      <c r="Y98" s="1"/>
      <c r="Z98" s="1"/>
      <c r="AA98" s="1"/>
      <c r="AB98" s="1"/>
      <c r="AC98" s="1"/>
      <c r="AD98" s="1"/>
      <c r="AE98" s="1"/>
      <c r="AF98" s="98"/>
      <c r="AG98" s="1"/>
    </row>
    <row r="99" spans="1:33">
      <c r="A99" s="5">
        <v>6982</v>
      </c>
      <c r="B99" s="22" t="str">
        <f>INDEX(MeritBonus!$G$9:$G$500,MATCH('Performance Summary'!A99,MeritBonus!$F$9:$F$500,0))</f>
        <v>Edward Aponte</v>
      </c>
      <c r="C99" s="22">
        <f>INDEX(MeritBonus!$L$9:$L$500,MATCH('Performance Summary'!A99,MeritBonus!$F$9:$F$500,0))</f>
        <v>29342</v>
      </c>
      <c r="D99" s="22" t="str">
        <f>INDEX(MeritBonus!$M$9:$M$500,MATCH('Performance Summary'!A99,MeritBonus!$F$9:$F$500,0))</f>
        <v>Steven Van</v>
      </c>
      <c r="E99" s="22" t="str">
        <f>INDEX(MeritBonus!$J$9:$J$500,MATCH('Performance Summary'!A99,MeritBonus!$F$9:$F$500,0))</f>
        <v>Midwest</v>
      </c>
      <c r="F99" s="22" t="str">
        <f>INDEX(MeritBonus!$N$9:$N$500,MATCH('Performance Summary'!A99,MeritBonus!$F$9:$F$500,0))</f>
        <v>Active</v>
      </c>
      <c r="G99" s="22" t="str">
        <f>INDEX(MeritBonus!$AG$9:$AG$500,MATCH('Performance Summary'!A99,MeritBonus!$F$9:$F$500,0))</f>
        <v>Exceeds</v>
      </c>
      <c r="H99" s="32" t="str">
        <f>INDEX(MeritBonus!$CV$9:$CV$500,MATCH('Performance Summary'!A99,MeritBonus!$F$9:$F$500,0))</f>
        <v>67890;86672</v>
      </c>
      <c r="I99" s="32" t="str">
        <f t="shared" si="10"/>
        <v>Edward Aponte</v>
      </c>
      <c r="J99" s="32" t="str">
        <f t="shared" si="11"/>
        <v/>
      </c>
      <c r="K99" s="32" t="str">
        <f t="shared" si="12"/>
        <v/>
      </c>
      <c r="L99" s="32" t="str">
        <f t="shared" si="13"/>
        <v/>
      </c>
      <c r="M99" s="1"/>
      <c r="N99" s="198" t="str">
        <f t="shared" si="9"/>
        <v>Show</v>
      </c>
      <c r="O99" s="1"/>
      <c r="P99" s="1"/>
      <c r="Q99" s="1"/>
      <c r="R99" s="1"/>
      <c r="S99" s="1"/>
      <c r="T99" s="1"/>
      <c r="U99" s="1"/>
      <c r="V99" s="98"/>
      <c r="W99" s="1"/>
      <c r="X99" s="1"/>
      <c r="Y99" s="1"/>
      <c r="Z99" s="1"/>
      <c r="AA99" s="1"/>
      <c r="AB99" s="1"/>
      <c r="AC99" s="1"/>
      <c r="AD99" s="1"/>
      <c r="AE99" s="1"/>
      <c r="AF99" s="98"/>
      <c r="AG99" s="1"/>
    </row>
    <row r="100" spans="1:33">
      <c r="A100" s="5">
        <v>7026</v>
      </c>
      <c r="B100" s="22" t="str">
        <f>INDEX(MeritBonus!$G$9:$G$500,MATCH('Performance Summary'!A100,MeritBonus!$F$9:$F$500,0))</f>
        <v>Alicia Hosey</v>
      </c>
      <c r="C100" s="22">
        <f>INDEX(MeritBonus!$L$9:$L$500,MATCH('Performance Summary'!A100,MeritBonus!$F$9:$F$500,0))</f>
        <v>29342</v>
      </c>
      <c r="D100" s="22" t="str">
        <f>INDEX(MeritBonus!$M$9:$M$500,MATCH('Performance Summary'!A100,MeritBonus!$F$9:$F$500,0))</f>
        <v>Steven Van</v>
      </c>
      <c r="E100" s="22" t="str">
        <f>INDEX(MeritBonus!$J$9:$J$500,MATCH('Performance Summary'!A100,MeritBonus!$F$9:$F$500,0))</f>
        <v>Midwest</v>
      </c>
      <c r="F100" s="22" t="str">
        <f>INDEX(MeritBonus!$N$9:$N$500,MATCH('Performance Summary'!A100,MeritBonus!$F$9:$F$500,0))</f>
        <v>Active</v>
      </c>
      <c r="G100" s="22" t="str">
        <f>INDEX(MeritBonus!$AG$9:$AG$500,MATCH('Performance Summary'!A100,MeritBonus!$F$9:$F$500,0))</f>
        <v>Exceeds</v>
      </c>
      <c r="H100" s="32" t="str">
        <f>INDEX(MeritBonus!$CV$9:$CV$500,MATCH('Performance Summary'!A100,MeritBonus!$F$9:$F$500,0))</f>
        <v>67890;86672</v>
      </c>
      <c r="I100" s="32" t="str">
        <f t="shared" si="10"/>
        <v>Alicia Hosey</v>
      </c>
      <c r="J100" s="32" t="str">
        <f t="shared" si="11"/>
        <v/>
      </c>
      <c r="K100" s="32" t="str">
        <f t="shared" si="12"/>
        <v/>
      </c>
      <c r="L100" s="32" t="str">
        <f t="shared" si="13"/>
        <v/>
      </c>
      <c r="M100" s="1"/>
      <c r="N100" s="198" t="str">
        <f t="shared" si="9"/>
        <v>Show</v>
      </c>
      <c r="O100" s="1"/>
      <c r="P100" s="1"/>
      <c r="Q100" s="1"/>
      <c r="R100" s="1"/>
      <c r="S100" s="1"/>
      <c r="T100" s="1"/>
      <c r="U100" s="1"/>
      <c r="V100" s="98"/>
      <c r="W100" s="1"/>
      <c r="X100" s="1"/>
      <c r="Y100" s="1"/>
      <c r="Z100" s="1"/>
      <c r="AA100" s="1"/>
      <c r="AB100" s="1"/>
      <c r="AC100" s="1"/>
      <c r="AD100" s="1"/>
      <c r="AE100" s="1"/>
      <c r="AF100" s="98"/>
      <c r="AG100" s="1"/>
    </row>
    <row r="101" spans="1:33">
      <c r="A101" s="5">
        <v>7032</v>
      </c>
      <c r="B101" s="22" t="str">
        <f>INDEX(MeritBonus!$G$9:$G$500,MATCH('Performance Summary'!A101,MeritBonus!$F$9:$F$500,0))</f>
        <v>Evelyn Barbosa</v>
      </c>
      <c r="C101" s="22">
        <f>INDEX(MeritBonus!$L$9:$L$500,MATCH('Performance Summary'!A101,MeritBonus!$F$9:$F$500,0))</f>
        <v>29342</v>
      </c>
      <c r="D101" s="22" t="str">
        <f>INDEX(MeritBonus!$M$9:$M$500,MATCH('Performance Summary'!A101,MeritBonus!$F$9:$F$500,0))</f>
        <v>Steven Van</v>
      </c>
      <c r="E101" s="22" t="str">
        <f>INDEX(MeritBonus!$J$9:$J$500,MATCH('Performance Summary'!A101,MeritBonus!$F$9:$F$500,0))</f>
        <v>Midwest</v>
      </c>
      <c r="F101" s="22" t="str">
        <f>INDEX(MeritBonus!$N$9:$N$500,MATCH('Performance Summary'!A101,MeritBonus!$F$9:$F$500,0))</f>
        <v>Active</v>
      </c>
      <c r="G101" s="22" t="str">
        <f>INDEX(MeritBonus!$AG$9:$AG$500,MATCH('Performance Summary'!A101,MeritBonus!$F$9:$F$500,0))</f>
        <v>Below</v>
      </c>
      <c r="H101" s="32" t="str">
        <f>INDEX(MeritBonus!$CV$9:$CV$500,MATCH('Performance Summary'!A101,MeritBonus!$F$9:$F$500,0))</f>
        <v>67890;86672</v>
      </c>
      <c r="I101" s="32" t="str">
        <f t="shared" si="10"/>
        <v/>
      </c>
      <c r="J101" s="32" t="str">
        <f t="shared" si="11"/>
        <v/>
      </c>
      <c r="K101" s="32" t="str">
        <f t="shared" si="12"/>
        <v>Evelyn Barbosa</v>
      </c>
      <c r="L101" s="32" t="str">
        <f t="shared" si="13"/>
        <v/>
      </c>
      <c r="M101" s="1"/>
      <c r="N101" s="198" t="str">
        <f t="shared" si="9"/>
        <v>Show</v>
      </c>
      <c r="O101" s="1"/>
      <c r="P101" s="1"/>
      <c r="Q101" s="1"/>
      <c r="R101" s="1"/>
      <c r="S101" s="1"/>
      <c r="T101" s="1"/>
      <c r="U101" s="1"/>
      <c r="V101" s="98"/>
      <c r="W101" s="1"/>
      <c r="X101" s="1"/>
      <c r="Y101" s="1"/>
      <c r="Z101" s="1"/>
      <c r="AA101" s="1"/>
      <c r="AB101" s="1"/>
      <c r="AC101" s="1"/>
      <c r="AD101" s="1"/>
      <c r="AE101" s="1"/>
      <c r="AF101" s="98"/>
      <c r="AG101" s="1"/>
    </row>
    <row r="102" spans="1:33">
      <c r="A102" s="5">
        <v>7231</v>
      </c>
      <c r="B102" s="22" t="str">
        <f>INDEX(MeritBonus!$G$9:$G$500,MATCH('Performance Summary'!A102,MeritBonus!$F$9:$F$500,0))</f>
        <v>Rachel Loveland</v>
      </c>
      <c r="C102" s="22">
        <f>INDEX(MeritBonus!$L$9:$L$500,MATCH('Performance Summary'!A102,MeritBonus!$F$9:$F$500,0))</f>
        <v>29342</v>
      </c>
      <c r="D102" s="22" t="str">
        <f>INDEX(MeritBonus!$M$9:$M$500,MATCH('Performance Summary'!A102,MeritBonus!$F$9:$F$500,0))</f>
        <v>Steven Van</v>
      </c>
      <c r="E102" s="22" t="str">
        <f>INDEX(MeritBonus!$J$9:$J$500,MATCH('Performance Summary'!A102,MeritBonus!$F$9:$F$500,0))</f>
        <v>Midwest</v>
      </c>
      <c r="F102" s="22" t="str">
        <f>INDEX(MeritBonus!$N$9:$N$500,MATCH('Performance Summary'!A102,MeritBonus!$F$9:$F$500,0))</f>
        <v>Active</v>
      </c>
      <c r="G102" s="22" t="str">
        <f>INDEX(MeritBonus!$AG$9:$AG$500,MATCH('Performance Summary'!A102,MeritBonus!$F$9:$F$500,0))</f>
        <v>Meets</v>
      </c>
      <c r="H102" s="32" t="str">
        <f>INDEX(MeritBonus!$CV$9:$CV$500,MATCH('Performance Summary'!A102,MeritBonus!$F$9:$F$500,0))</f>
        <v>67890;86672</v>
      </c>
      <c r="I102" s="32" t="str">
        <f t="shared" si="10"/>
        <v/>
      </c>
      <c r="J102" s="32" t="str">
        <f t="shared" si="11"/>
        <v>Rachel Loveland</v>
      </c>
      <c r="K102" s="32" t="str">
        <f t="shared" si="12"/>
        <v/>
      </c>
      <c r="L102" s="32" t="str">
        <f t="shared" si="13"/>
        <v/>
      </c>
      <c r="M102" s="1"/>
      <c r="N102" s="198" t="str">
        <f t="shared" si="9"/>
        <v>Show</v>
      </c>
      <c r="O102" s="1"/>
      <c r="P102" s="1"/>
      <c r="Q102" s="1"/>
      <c r="R102" s="1"/>
      <c r="S102" s="1"/>
      <c r="T102" s="1"/>
      <c r="U102" s="1"/>
      <c r="V102" s="98"/>
      <c r="W102" s="1"/>
      <c r="X102" s="1"/>
      <c r="Y102" s="1"/>
      <c r="Z102" s="1"/>
      <c r="AA102" s="1"/>
      <c r="AB102" s="1"/>
      <c r="AC102" s="1"/>
      <c r="AD102" s="1"/>
      <c r="AE102" s="1"/>
      <c r="AF102" s="98"/>
      <c r="AG102" s="1"/>
    </row>
    <row r="103" spans="1:33">
      <c r="A103" s="5">
        <v>7297</v>
      </c>
      <c r="B103" s="22" t="str">
        <f>INDEX(MeritBonus!$G$9:$G$500,MATCH('Performance Summary'!A103,MeritBonus!$F$9:$F$500,0))</f>
        <v>Tamara Mackey</v>
      </c>
      <c r="C103" s="22">
        <f>INDEX(MeritBonus!$L$9:$L$500,MATCH('Performance Summary'!A103,MeritBonus!$F$9:$F$500,0))</f>
        <v>29342</v>
      </c>
      <c r="D103" s="22" t="str">
        <f>INDEX(MeritBonus!$M$9:$M$500,MATCH('Performance Summary'!A103,MeritBonus!$F$9:$F$500,0))</f>
        <v>Steven Van</v>
      </c>
      <c r="E103" s="22" t="str">
        <f>INDEX(MeritBonus!$J$9:$J$500,MATCH('Performance Summary'!A103,MeritBonus!$F$9:$F$500,0))</f>
        <v>Midwest</v>
      </c>
      <c r="F103" s="22" t="str">
        <f>INDEX(MeritBonus!$N$9:$N$500,MATCH('Performance Summary'!A103,MeritBonus!$F$9:$F$500,0))</f>
        <v>Active</v>
      </c>
      <c r="G103" s="22" t="str">
        <f>INDEX(MeritBonus!$AG$9:$AG$500,MATCH('Performance Summary'!A103,MeritBonus!$F$9:$F$500,0))</f>
        <v>Exceeds</v>
      </c>
      <c r="H103" s="32" t="str">
        <f>INDEX(MeritBonus!$CV$9:$CV$500,MATCH('Performance Summary'!A103,MeritBonus!$F$9:$F$500,0))</f>
        <v>67890;86672</v>
      </c>
      <c r="I103" s="32" t="str">
        <f t="shared" si="10"/>
        <v>Tamara Mackey</v>
      </c>
      <c r="J103" s="32" t="str">
        <f t="shared" si="11"/>
        <v/>
      </c>
      <c r="K103" s="32" t="str">
        <f t="shared" si="12"/>
        <v/>
      </c>
      <c r="L103" s="32" t="str">
        <f t="shared" si="13"/>
        <v/>
      </c>
      <c r="M103" s="1"/>
      <c r="N103" s="198" t="str">
        <f t="shared" si="9"/>
        <v>Show</v>
      </c>
      <c r="O103" s="1"/>
      <c r="P103" s="1"/>
      <c r="Q103" s="1"/>
      <c r="R103" s="1"/>
      <c r="S103" s="1"/>
      <c r="T103" s="1"/>
      <c r="U103" s="1"/>
      <c r="V103" s="98"/>
      <c r="W103" s="1"/>
      <c r="X103" s="1"/>
      <c r="Y103" s="1"/>
      <c r="Z103" s="1"/>
      <c r="AA103" s="1"/>
      <c r="AB103" s="1"/>
      <c r="AC103" s="1"/>
      <c r="AD103" s="1"/>
      <c r="AE103" s="1"/>
      <c r="AF103" s="98"/>
      <c r="AG103" s="1"/>
    </row>
    <row r="104" spans="1:33">
      <c r="A104" s="5">
        <v>7329</v>
      </c>
      <c r="B104" s="22" t="str">
        <f>INDEX(MeritBonus!$G$9:$G$500,MATCH('Performance Summary'!A104,MeritBonus!$F$9:$F$500,0))</f>
        <v>Wendy List</v>
      </c>
      <c r="C104" s="22">
        <f>INDEX(MeritBonus!$L$9:$L$500,MATCH('Performance Summary'!A104,MeritBonus!$F$9:$F$500,0))</f>
        <v>29342</v>
      </c>
      <c r="D104" s="22" t="str">
        <f>INDEX(MeritBonus!$M$9:$M$500,MATCH('Performance Summary'!A104,MeritBonus!$F$9:$F$500,0))</f>
        <v>Steven Van</v>
      </c>
      <c r="E104" s="22" t="str">
        <f>INDEX(MeritBonus!$J$9:$J$500,MATCH('Performance Summary'!A104,MeritBonus!$F$9:$F$500,0))</f>
        <v>Midwest</v>
      </c>
      <c r="F104" s="22" t="str">
        <f>INDEX(MeritBonus!$N$9:$N$500,MATCH('Performance Summary'!A104,MeritBonus!$F$9:$F$500,0))</f>
        <v>Active</v>
      </c>
      <c r="G104" s="22" t="str">
        <f>INDEX(MeritBonus!$AG$9:$AG$500,MATCH('Performance Summary'!A104,MeritBonus!$F$9:$F$500,0))</f>
        <v>Meets</v>
      </c>
      <c r="H104" s="32" t="str">
        <f>INDEX(MeritBonus!$CV$9:$CV$500,MATCH('Performance Summary'!A104,MeritBonus!$F$9:$F$500,0))</f>
        <v>67890;86672</v>
      </c>
      <c r="I104" s="32" t="str">
        <f t="shared" si="10"/>
        <v/>
      </c>
      <c r="J104" s="32" t="str">
        <f t="shared" si="11"/>
        <v>Wendy List</v>
      </c>
      <c r="K104" s="32" t="str">
        <f t="shared" si="12"/>
        <v/>
      </c>
      <c r="L104" s="32" t="str">
        <f t="shared" si="13"/>
        <v/>
      </c>
      <c r="M104" s="1"/>
      <c r="N104" s="198" t="str">
        <f t="shared" si="9"/>
        <v>Show</v>
      </c>
      <c r="O104" s="1"/>
      <c r="P104" s="1"/>
      <c r="Q104" s="1"/>
      <c r="R104" s="1"/>
      <c r="S104" s="1"/>
      <c r="T104" s="1"/>
      <c r="U104" s="1"/>
      <c r="V104" s="98"/>
      <c r="W104" s="1"/>
      <c r="X104" s="1"/>
      <c r="Y104" s="1"/>
      <c r="Z104" s="1"/>
      <c r="AA104" s="1"/>
      <c r="AB104" s="1"/>
      <c r="AC104" s="1"/>
      <c r="AD104" s="1"/>
      <c r="AE104" s="1"/>
      <c r="AF104" s="98"/>
      <c r="AG104" s="1"/>
    </row>
    <row r="105" spans="1:33">
      <c r="A105" s="5">
        <v>7344</v>
      </c>
      <c r="B105" s="22" t="str">
        <f>INDEX(MeritBonus!$G$9:$G$500,MATCH('Performance Summary'!A105,MeritBonus!$F$9:$F$500,0))</f>
        <v>Julie Inkster</v>
      </c>
      <c r="C105" s="22">
        <f>INDEX(MeritBonus!$L$9:$L$500,MATCH('Performance Summary'!A105,MeritBonus!$F$9:$F$500,0))</f>
        <v>29342</v>
      </c>
      <c r="D105" s="22" t="str">
        <f>INDEX(MeritBonus!$M$9:$M$500,MATCH('Performance Summary'!A105,MeritBonus!$F$9:$F$500,0))</f>
        <v>Steven Van</v>
      </c>
      <c r="E105" s="22" t="str">
        <f>INDEX(MeritBonus!$J$9:$J$500,MATCH('Performance Summary'!A105,MeritBonus!$F$9:$F$500,0))</f>
        <v>Midwest</v>
      </c>
      <c r="F105" s="22" t="str">
        <f>INDEX(MeritBonus!$N$9:$N$500,MATCH('Performance Summary'!A105,MeritBonus!$F$9:$F$500,0))</f>
        <v>Active</v>
      </c>
      <c r="G105" s="22" t="str">
        <f>INDEX(MeritBonus!$AG$9:$AG$500,MATCH('Performance Summary'!A105,MeritBonus!$F$9:$F$500,0))</f>
        <v>Exceeds</v>
      </c>
      <c r="H105" s="32" t="str">
        <f>INDEX(MeritBonus!$CV$9:$CV$500,MATCH('Performance Summary'!A105,MeritBonus!$F$9:$F$500,0))</f>
        <v>67890;86672</v>
      </c>
      <c r="I105" s="32" t="str">
        <f t="shared" si="10"/>
        <v>Julie Inkster</v>
      </c>
      <c r="J105" s="32" t="str">
        <f t="shared" si="11"/>
        <v/>
      </c>
      <c r="K105" s="32" t="str">
        <f t="shared" si="12"/>
        <v/>
      </c>
      <c r="L105" s="32" t="str">
        <f t="shared" si="13"/>
        <v/>
      </c>
      <c r="M105" s="1"/>
      <c r="N105" s="198" t="str">
        <f t="shared" si="9"/>
        <v>Show</v>
      </c>
      <c r="O105" s="1"/>
      <c r="P105" s="1"/>
      <c r="Q105" s="1"/>
      <c r="R105" s="1"/>
      <c r="S105" s="1"/>
      <c r="T105" s="1"/>
      <c r="U105" s="1"/>
      <c r="V105" s="98"/>
      <c r="W105" s="1"/>
      <c r="X105" s="1"/>
      <c r="Y105" s="1"/>
      <c r="Z105" s="1"/>
      <c r="AA105" s="1"/>
      <c r="AB105" s="1"/>
      <c r="AC105" s="1"/>
      <c r="AD105" s="1"/>
      <c r="AE105" s="1"/>
      <c r="AF105" s="98"/>
      <c r="AG105" s="1"/>
    </row>
    <row r="106" spans="1:33">
      <c r="A106" s="5">
        <v>7462</v>
      </c>
      <c r="B106" s="22" t="str">
        <f>INDEX(MeritBonus!$G$9:$G$500,MATCH('Performance Summary'!A106,MeritBonus!$F$9:$F$500,0))</f>
        <v>Erika Friday</v>
      </c>
      <c r="C106" s="22">
        <f>INDEX(MeritBonus!$L$9:$L$500,MATCH('Performance Summary'!A106,MeritBonus!$F$9:$F$500,0))</f>
        <v>29342</v>
      </c>
      <c r="D106" s="22" t="str">
        <f>INDEX(MeritBonus!$M$9:$M$500,MATCH('Performance Summary'!A106,MeritBonus!$F$9:$F$500,0))</f>
        <v>Steven Van</v>
      </c>
      <c r="E106" s="22" t="str">
        <f>INDEX(MeritBonus!$J$9:$J$500,MATCH('Performance Summary'!A106,MeritBonus!$F$9:$F$500,0))</f>
        <v>Midwest</v>
      </c>
      <c r="F106" s="22" t="str">
        <f>INDEX(MeritBonus!$N$9:$N$500,MATCH('Performance Summary'!A106,MeritBonus!$F$9:$F$500,0))</f>
        <v>Active</v>
      </c>
      <c r="G106" s="22" t="str">
        <f>INDEX(MeritBonus!$AG$9:$AG$500,MATCH('Performance Summary'!A106,MeritBonus!$F$9:$F$500,0))</f>
        <v>Exceeds</v>
      </c>
      <c r="H106" s="32" t="str">
        <f>INDEX(MeritBonus!$CV$9:$CV$500,MATCH('Performance Summary'!A106,MeritBonus!$F$9:$F$500,0))</f>
        <v>67890;86672</v>
      </c>
      <c r="I106" s="32" t="str">
        <f t="shared" si="10"/>
        <v>Erika Friday</v>
      </c>
      <c r="J106" s="32" t="str">
        <f t="shared" si="11"/>
        <v/>
      </c>
      <c r="K106" s="32" t="str">
        <f t="shared" si="12"/>
        <v/>
      </c>
      <c r="L106" s="32" t="str">
        <f t="shared" si="13"/>
        <v/>
      </c>
      <c r="M106" s="1"/>
      <c r="N106" s="198" t="str">
        <f t="shared" si="9"/>
        <v>Show</v>
      </c>
      <c r="O106" s="1"/>
      <c r="P106" s="1"/>
      <c r="Q106" s="1"/>
      <c r="R106" s="1"/>
      <c r="S106" s="1"/>
      <c r="T106" s="1"/>
      <c r="U106" s="1"/>
      <c r="V106" s="98"/>
      <c r="W106" s="1"/>
      <c r="X106" s="1"/>
      <c r="Y106" s="1"/>
      <c r="Z106" s="1"/>
      <c r="AA106" s="1"/>
      <c r="AB106" s="1"/>
      <c r="AC106" s="1"/>
      <c r="AD106" s="1"/>
      <c r="AE106" s="1"/>
      <c r="AF106" s="98"/>
      <c r="AG106" s="1"/>
    </row>
    <row r="107" spans="1:33">
      <c r="A107" s="5">
        <v>7542</v>
      </c>
      <c r="B107" s="22" t="str">
        <f>INDEX(MeritBonus!$G$9:$G$500,MATCH('Performance Summary'!A107,MeritBonus!$F$9:$F$500,0))</f>
        <v>Blanche Bixler</v>
      </c>
      <c r="C107" s="22">
        <f>INDEX(MeritBonus!$L$9:$L$500,MATCH('Performance Summary'!A107,MeritBonus!$F$9:$F$500,0))</f>
        <v>29342</v>
      </c>
      <c r="D107" s="22" t="str">
        <f>INDEX(MeritBonus!$M$9:$M$500,MATCH('Performance Summary'!A107,MeritBonus!$F$9:$F$500,0))</f>
        <v>Steven Van</v>
      </c>
      <c r="E107" s="22" t="str">
        <f>INDEX(MeritBonus!$J$9:$J$500,MATCH('Performance Summary'!A107,MeritBonus!$F$9:$F$500,0))</f>
        <v>Midwest</v>
      </c>
      <c r="F107" s="22" t="str">
        <f>INDEX(MeritBonus!$N$9:$N$500,MATCH('Performance Summary'!A107,MeritBonus!$F$9:$F$500,0))</f>
        <v>Active</v>
      </c>
      <c r="G107" s="22" t="str">
        <f>INDEX(MeritBonus!$AG$9:$AG$500,MATCH('Performance Summary'!A107,MeritBonus!$F$9:$F$500,0))</f>
        <v>Meets</v>
      </c>
      <c r="H107" s="32" t="str">
        <f>INDEX(MeritBonus!$CV$9:$CV$500,MATCH('Performance Summary'!A107,MeritBonus!$F$9:$F$500,0))</f>
        <v>67890;86672</v>
      </c>
      <c r="I107" s="32" t="str">
        <f t="shared" si="10"/>
        <v/>
      </c>
      <c r="J107" s="32" t="str">
        <f t="shared" si="11"/>
        <v>Blanche Bixler</v>
      </c>
      <c r="K107" s="32" t="str">
        <f t="shared" si="12"/>
        <v/>
      </c>
      <c r="L107" s="32" t="str">
        <f t="shared" si="13"/>
        <v/>
      </c>
      <c r="M107" s="1"/>
      <c r="N107" s="198" t="str">
        <f t="shared" si="9"/>
        <v>Show</v>
      </c>
      <c r="O107" s="1"/>
      <c r="P107" s="1"/>
      <c r="Q107" s="1"/>
      <c r="R107" s="1"/>
      <c r="S107" s="1"/>
      <c r="T107" s="1"/>
      <c r="U107" s="1"/>
      <c r="V107" s="98"/>
      <c r="W107" s="1"/>
      <c r="X107" s="1"/>
      <c r="Y107" s="1"/>
      <c r="Z107" s="1"/>
      <c r="AA107" s="1"/>
      <c r="AB107" s="1"/>
      <c r="AC107" s="1"/>
      <c r="AD107" s="1"/>
      <c r="AE107" s="1"/>
      <c r="AF107" s="98"/>
      <c r="AG107" s="1"/>
    </row>
    <row r="108" spans="1:33">
      <c r="A108" s="5">
        <v>7655</v>
      </c>
      <c r="B108" s="22" t="str">
        <f>INDEX(MeritBonus!$G$9:$G$500,MATCH('Performance Summary'!A108,MeritBonus!$F$9:$F$500,0))</f>
        <v>Jeremy Thorp</v>
      </c>
      <c r="C108" s="22">
        <f>INDEX(MeritBonus!$L$9:$L$500,MATCH('Performance Summary'!A108,MeritBonus!$F$9:$F$500,0))</f>
        <v>20714</v>
      </c>
      <c r="D108" s="22" t="str">
        <f>INDEX(MeritBonus!$M$9:$M$500,MATCH('Performance Summary'!A108,MeritBonus!$F$9:$F$500,0))</f>
        <v>Robert Boatwright</v>
      </c>
      <c r="E108" s="22" t="str">
        <f>INDEX(MeritBonus!$J$9:$J$500,MATCH('Performance Summary'!A108,MeritBonus!$F$9:$F$500,0))</f>
        <v>South</v>
      </c>
      <c r="F108" s="22" t="str">
        <f>INDEX(MeritBonus!$N$9:$N$500,MATCH('Performance Summary'!A108,MeritBonus!$F$9:$F$500,0))</f>
        <v>Active</v>
      </c>
      <c r="G108" s="22" t="str">
        <f>INDEX(MeritBonus!$AG$9:$AG$500,MATCH('Performance Summary'!A108,MeritBonus!$F$9:$F$500,0))</f>
        <v>Meets</v>
      </c>
      <c r="H108" s="32" t="str">
        <f>INDEX(MeritBonus!$CV$9:$CV$500,MATCH('Performance Summary'!A108,MeritBonus!$F$9:$F$500,0))</f>
        <v>67890;99485</v>
      </c>
      <c r="I108" s="32" t="str">
        <f t="shared" si="10"/>
        <v/>
      </c>
      <c r="J108" s="32" t="str">
        <f t="shared" si="11"/>
        <v>Jeremy Thorp</v>
      </c>
      <c r="K108" s="32" t="str">
        <f t="shared" si="12"/>
        <v/>
      </c>
      <c r="L108" s="32" t="str">
        <f t="shared" si="13"/>
        <v/>
      </c>
      <c r="M108" s="1"/>
      <c r="N108" s="198" t="str">
        <f t="shared" si="9"/>
        <v>Show</v>
      </c>
      <c r="O108" s="1"/>
      <c r="P108" s="1"/>
      <c r="Q108" s="1"/>
      <c r="R108" s="1"/>
      <c r="S108" s="1"/>
      <c r="T108" s="1"/>
      <c r="U108" s="1"/>
      <c r="V108" s="98"/>
      <c r="W108" s="1"/>
      <c r="X108" s="1"/>
      <c r="Y108" s="1"/>
      <c r="Z108" s="1"/>
      <c r="AA108" s="1"/>
      <c r="AB108" s="1"/>
      <c r="AC108" s="1"/>
      <c r="AD108" s="1"/>
      <c r="AE108" s="1"/>
      <c r="AF108" s="98"/>
      <c r="AG108" s="1"/>
    </row>
    <row r="109" spans="1:33">
      <c r="A109" s="5">
        <v>7656</v>
      </c>
      <c r="B109" s="22" t="str">
        <f>INDEX(MeritBonus!$G$9:$G$500,MATCH('Performance Summary'!A109,MeritBonus!$F$9:$F$500,0))</f>
        <v>Valerie Reinert</v>
      </c>
      <c r="C109" s="22">
        <f>INDEX(MeritBonus!$L$9:$L$500,MATCH('Performance Summary'!A109,MeritBonus!$F$9:$F$500,0))</f>
        <v>29342</v>
      </c>
      <c r="D109" s="22" t="str">
        <f>INDEX(MeritBonus!$M$9:$M$500,MATCH('Performance Summary'!A109,MeritBonus!$F$9:$F$500,0))</f>
        <v>Steven Van</v>
      </c>
      <c r="E109" s="22" t="str">
        <f>INDEX(MeritBonus!$J$9:$J$500,MATCH('Performance Summary'!A109,MeritBonus!$F$9:$F$500,0))</f>
        <v>Midwest</v>
      </c>
      <c r="F109" s="22" t="str">
        <f>INDEX(MeritBonus!$N$9:$N$500,MATCH('Performance Summary'!A109,MeritBonus!$F$9:$F$500,0))</f>
        <v>Active</v>
      </c>
      <c r="G109" s="22" t="str">
        <f>INDEX(MeritBonus!$AG$9:$AG$500,MATCH('Performance Summary'!A109,MeritBonus!$F$9:$F$500,0))</f>
        <v>Below</v>
      </c>
      <c r="H109" s="32" t="str">
        <f>INDEX(MeritBonus!$CV$9:$CV$500,MATCH('Performance Summary'!A109,MeritBonus!$F$9:$F$500,0))</f>
        <v>67890;86672</v>
      </c>
      <c r="I109" s="32" t="str">
        <f t="shared" si="10"/>
        <v/>
      </c>
      <c r="J109" s="32" t="str">
        <f t="shared" si="11"/>
        <v/>
      </c>
      <c r="K109" s="32" t="str">
        <f t="shared" si="12"/>
        <v>Valerie Reinert</v>
      </c>
      <c r="L109" s="32" t="str">
        <f t="shared" si="13"/>
        <v/>
      </c>
      <c r="M109" s="1"/>
      <c r="N109" s="198" t="str">
        <f t="shared" si="9"/>
        <v>Show</v>
      </c>
      <c r="O109" s="1"/>
      <c r="P109" s="1"/>
      <c r="Q109" s="1"/>
      <c r="R109" s="1"/>
      <c r="S109" s="1"/>
      <c r="T109" s="1"/>
      <c r="U109" s="1"/>
      <c r="V109" s="98"/>
      <c r="W109" s="1"/>
      <c r="X109" s="1"/>
      <c r="Y109" s="1"/>
      <c r="Z109" s="1"/>
      <c r="AA109" s="1"/>
      <c r="AB109" s="1"/>
      <c r="AC109" s="1"/>
      <c r="AD109" s="1"/>
      <c r="AE109" s="1"/>
      <c r="AF109" s="98"/>
      <c r="AG109" s="1"/>
    </row>
    <row r="110" spans="1:33">
      <c r="A110" s="5">
        <v>7885</v>
      </c>
      <c r="B110" s="22" t="str">
        <f>INDEX(MeritBonus!$G$9:$G$500,MATCH('Performance Summary'!A110,MeritBonus!$F$9:$F$500,0))</f>
        <v>Erica Overby</v>
      </c>
      <c r="C110" s="22">
        <f>INDEX(MeritBonus!$L$9:$L$500,MATCH('Performance Summary'!A110,MeritBonus!$F$9:$F$500,0))</f>
        <v>29342</v>
      </c>
      <c r="D110" s="22" t="str">
        <f>INDEX(MeritBonus!$M$9:$M$500,MATCH('Performance Summary'!A110,MeritBonus!$F$9:$F$500,0))</f>
        <v>Steven Van</v>
      </c>
      <c r="E110" s="22" t="str">
        <f>INDEX(MeritBonus!$J$9:$J$500,MATCH('Performance Summary'!A110,MeritBonus!$F$9:$F$500,0))</f>
        <v>Midwest</v>
      </c>
      <c r="F110" s="22" t="str">
        <f>INDEX(MeritBonus!$N$9:$N$500,MATCH('Performance Summary'!A110,MeritBonus!$F$9:$F$500,0))</f>
        <v>Active</v>
      </c>
      <c r="G110" s="22" t="str">
        <f>INDEX(MeritBonus!$AG$9:$AG$500,MATCH('Performance Summary'!A110,MeritBonus!$F$9:$F$500,0))</f>
        <v>Meets</v>
      </c>
      <c r="H110" s="32" t="str">
        <f>INDEX(MeritBonus!$CV$9:$CV$500,MATCH('Performance Summary'!A110,MeritBonus!$F$9:$F$500,0))</f>
        <v>67890;86672</v>
      </c>
      <c r="I110" s="32" t="str">
        <f t="shared" si="10"/>
        <v/>
      </c>
      <c r="J110" s="32" t="str">
        <f t="shared" si="11"/>
        <v>Erica Overby</v>
      </c>
      <c r="K110" s="32" t="str">
        <f t="shared" si="12"/>
        <v/>
      </c>
      <c r="L110" s="32" t="str">
        <f t="shared" si="13"/>
        <v/>
      </c>
      <c r="M110" s="1"/>
      <c r="N110" s="198" t="str">
        <f t="shared" si="9"/>
        <v>Show</v>
      </c>
      <c r="O110" s="1"/>
      <c r="P110" s="1"/>
      <c r="Q110" s="1"/>
      <c r="R110" s="1"/>
      <c r="S110" s="1"/>
      <c r="T110" s="1"/>
      <c r="U110" s="1"/>
      <c r="V110" s="98"/>
      <c r="W110" s="1"/>
      <c r="X110" s="1"/>
      <c r="Y110" s="1"/>
      <c r="Z110" s="1"/>
      <c r="AA110" s="1"/>
      <c r="AB110" s="1"/>
      <c r="AC110" s="1"/>
      <c r="AD110" s="1"/>
      <c r="AE110" s="1"/>
      <c r="AF110" s="98"/>
      <c r="AG110" s="1"/>
    </row>
    <row r="111" spans="1:33">
      <c r="A111" s="5">
        <v>7898</v>
      </c>
      <c r="B111" s="22" t="str">
        <f>INDEX(MeritBonus!$G$9:$G$500,MATCH('Performance Summary'!A111,MeritBonus!$F$9:$F$500,0))</f>
        <v>Brenda Milford</v>
      </c>
      <c r="C111" s="22">
        <f>INDEX(MeritBonus!$L$9:$L$500,MATCH('Performance Summary'!A111,MeritBonus!$F$9:$F$500,0))</f>
        <v>29342</v>
      </c>
      <c r="D111" s="22" t="str">
        <f>INDEX(MeritBonus!$M$9:$M$500,MATCH('Performance Summary'!A111,MeritBonus!$F$9:$F$500,0))</f>
        <v>Steven Van</v>
      </c>
      <c r="E111" s="22" t="str">
        <f>INDEX(MeritBonus!$J$9:$J$500,MATCH('Performance Summary'!A111,MeritBonus!$F$9:$F$500,0))</f>
        <v>Midwest</v>
      </c>
      <c r="F111" s="22" t="str">
        <f>INDEX(MeritBonus!$N$9:$N$500,MATCH('Performance Summary'!A111,MeritBonus!$F$9:$F$500,0))</f>
        <v>Active</v>
      </c>
      <c r="G111" s="22" t="str">
        <f>INDEX(MeritBonus!$AG$9:$AG$500,MATCH('Performance Summary'!A111,MeritBonus!$F$9:$F$500,0))</f>
        <v>Meets</v>
      </c>
      <c r="H111" s="32" t="str">
        <f>INDEX(MeritBonus!$CV$9:$CV$500,MATCH('Performance Summary'!A111,MeritBonus!$F$9:$F$500,0))</f>
        <v>67890;86672</v>
      </c>
      <c r="I111" s="32" t="str">
        <f t="shared" si="10"/>
        <v/>
      </c>
      <c r="J111" s="32" t="str">
        <f t="shared" si="11"/>
        <v>Brenda Milford</v>
      </c>
      <c r="K111" s="32" t="str">
        <f t="shared" si="12"/>
        <v/>
      </c>
      <c r="L111" s="32" t="str">
        <f t="shared" si="13"/>
        <v/>
      </c>
      <c r="M111" s="1"/>
      <c r="N111" s="198" t="str">
        <f t="shared" si="9"/>
        <v>Show</v>
      </c>
      <c r="O111" s="1"/>
      <c r="P111" s="1"/>
      <c r="Q111" s="1"/>
      <c r="R111" s="1"/>
      <c r="S111" s="1"/>
      <c r="T111" s="1"/>
      <c r="U111" s="1"/>
      <c r="V111" s="98"/>
      <c r="W111" s="1"/>
      <c r="X111" s="1"/>
      <c r="Y111" s="1"/>
      <c r="Z111" s="1"/>
      <c r="AA111" s="1"/>
      <c r="AB111" s="1"/>
      <c r="AC111" s="1"/>
      <c r="AD111" s="1"/>
      <c r="AE111" s="1"/>
      <c r="AF111" s="98"/>
      <c r="AG111" s="1"/>
    </row>
    <row r="112" spans="1:33">
      <c r="A112" s="5">
        <v>7904</v>
      </c>
      <c r="B112" s="22" t="str">
        <f>INDEX(MeritBonus!$G$9:$G$500,MATCH('Performance Summary'!A112,MeritBonus!$F$9:$F$500,0))</f>
        <v>Kay Mauricio</v>
      </c>
      <c r="C112" s="22">
        <f>INDEX(MeritBonus!$L$9:$L$500,MATCH('Performance Summary'!A112,MeritBonus!$F$9:$F$500,0))</f>
        <v>29342</v>
      </c>
      <c r="D112" s="22" t="str">
        <f>INDEX(MeritBonus!$M$9:$M$500,MATCH('Performance Summary'!A112,MeritBonus!$F$9:$F$500,0))</f>
        <v>Steven Van</v>
      </c>
      <c r="E112" s="22" t="str">
        <f>INDEX(MeritBonus!$J$9:$J$500,MATCH('Performance Summary'!A112,MeritBonus!$F$9:$F$500,0))</f>
        <v>Midwest</v>
      </c>
      <c r="F112" s="22" t="str">
        <f>INDEX(MeritBonus!$N$9:$N$500,MATCH('Performance Summary'!A112,MeritBonus!$F$9:$F$500,0))</f>
        <v>Active</v>
      </c>
      <c r="G112" s="22" t="str">
        <f>INDEX(MeritBonus!$AG$9:$AG$500,MATCH('Performance Summary'!A112,MeritBonus!$F$9:$F$500,0))</f>
        <v>Meets</v>
      </c>
      <c r="H112" s="32" t="str">
        <f>INDEX(MeritBonus!$CV$9:$CV$500,MATCH('Performance Summary'!A112,MeritBonus!$F$9:$F$500,0))</f>
        <v>67890;86672</v>
      </c>
      <c r="I112" s="32" t="str">
        <f t="shared" si="10"/>
        <v/>
      </c>
      <c r="J112" s="32" t="str">
        <f t="shared" si="11"/>
        <v>Kay Mauricio</v>
      </c>
      <c r="K112" s="32" t="str">
        <f t="shared" si="12"/>
        <v/>
      </c>
      <c r="L112" s="32" t="str">
        <f t="shared" si="13"/>
        <v/>
      </c>
      <c r="M112" s="1"/>
      <c r="N112" s="198" t="str">
        <f t="shared" si="9"/>
        <v>Show</v>
      </c>
      <c r="O112" s="1"/>
      <c r="P112" s="1"/>
      <c r="Q112" s="1"/>
      <c r="R112" s="1"/>
      <c r="S112" s="1"/>
      <c r="T112" s="1"/>
      <c r="U112" s="1"/>
      <c r="V112" s="98"/>
      <c r="W112" s="1"/>
      <c r="X112" s="1"/>
      <c r="Y112" s="1"/>
      <c r="Z112" s="1"/>
      <c r="AA112" s="1"/>
      <c r="AB112" s="1"/>
      <c r="AC112" s="1"/>
      <c r="AD112" s="1"/>
      <c r="AE112" s="1"/>
      <c r="AF112" s="98"/>
      <c r="AG112" s="1"/>
    </row>
    <row r="113" spans="1:33">
      <c r="A113" s="5">
        <v>7930</v>
      </c>
      <c r="B113" s="22" t="str">
        <f>INDEX(MeritBonus!$G$9:$G$500,MATCH('Performance Summary'!A113,MeritBonus!$F$9:$F$500,0))</f>
        <v>Carla Crank</v>
      </c>
      <c r="C113" s="22">
        <f>INDEX(MeritBonus!$L$9:$L$500,MATCH('Performance Summary'!A113,MeritBonus!$F$9:$F$500,0))</f>
        <v>29342</v>
      </c>
      <c r="D113" s="22" t="str">
        <f>INDEX(MeritBonus!$M$9:$M$500,MATCH('Performance Summary'!A113,MeritBonus!$F$9:$F$500,0))</f>
        <v>Steven Van</v>
      </c>
      <c r="E113" s="22" t="str">
        <f>INDEX(MeritBonus!$J$9:$J$500,MATCH('Performance Summary'!A113,MeritBonus!$F$9:$F$500,0))</f>
        <v>Midwest</v>
      </c>
      <c r="F113" s="22" t="str">
        <f>INDEX(MeritBonus!$N$9:$N$500,MATCH('Performance Summary'!A113,MeritBonus!$F$9:$F$500,0))</f>
        <v>Active</v>
      </c>
      <c r="G113" s="22" t="str">
        <f>INDEX(MeritBonus!$AG$9:$AG$500,MATCH('Performance Summary'!A113,MeritBonus!$F$9:$F$500,0))</f>
        <v>Below</v>
      </c>
      <c r="H113" s="32" t="str">
        <f>INDEX(MeritBonus!$CV$9:$CV$500,MATCH('Performance Summary'!A113,MeritBonus!$F$9:$F$500,0))</f>
        <v>67890;86672</v>
      </c>
      <c r="I113" s="32" t="str">
        <f t="shared" si="10"/>
        <v/>
      </c>
      <c r="J113" s="32" t="str">
        <f t="shared" si="11"/>
        <v/>
      </c>
      <c r="K113" s="32" t="str">
        <f t="shared" si="12"/>
        <v>Carla Crank</v>
      </c>
      <c r="L113" s="32" t="str">
        <f t="shared" si="13"/>
        <v/>
      </c>
      <c r="M113" s="1"/>
      <c r="N113" s="198" t="str">
        <f t="shared" si="9"/>
        <v>Show</v>
      </c>
      <c r="O113" s="1"/>
      <c r="P113" s="1"/>
      <c r="Q113" s="1"/>
      <c r="R113" s="1"/>
      <c r="S113" s="1"/>
      <c r="T113" s="1"/>
      <c r="U113" s="1"/>
      <c r="V113" s="98"/>
      <c r="W113" s="1"/>
      <c r="X113" s="1"/>
      <c r="Y113" s="1"/>
      <c r="Z113" s="1"/>
      <c r="AA113" s="1"/>
      <c r="AB113" s="1"/>
      <c r="AC113" s="1"/>
      <c r="AD113" s="1"/>
      <c r="AE113" s="1"/>
      <c r="AF113" s="98"/>
      <c r="AG113" s="1"/>
    </row>
    <row r="114" spans="1:33">
      <c r="A114" s="5">
        <v>7961</v>
      </c>
      <c r="B114" s="22" t="str">
        <f>INDEX(MeritBonus!$G$9:$G$500,MATCH('Performance Summary'!A114,MeritBonus!$F$9:$F$500,0))</f>
        <v>Craig Rae</v>
      </c>
      <c r="C114" s="22">
        <f>INDEX(MeritBonus!$L$9:$L$500,MATCH('Performance Summary'!A114,MeritBonus!$F$9:$F$500,0))</f>
        <v>29342</v>
      </c>
      <c r="D114" s="22" t="str">
        <f>INDEX(MeritBonus!$M$9:$M$500,MATCH('Performance Summary'!A114,MeritBonus!$F$9:$F$500,0))</f>
        <v>Steven Van</v>
      </c>
      <c r="E114" s="22" t="str">
        <f>INDEX(MeritBonus!$J$9:$J$500,MATCH('Performance Summary'!A114,MeritBonus!$F$9:$F$500,0))</f>
        <v>Midwest</v>
      </c>
      <c r="F114" s="22" t="str">
        <f>INDEX(MeritBonus!$N$9:$N$500,MATCH('Performance Summary'!A114,MeritBonus!$F$9:$F$500,0))</f>
        <v>Active</v>
      </c>
      <c r="G114" s="22" t="str">
        <f>INDEX(MeritBonus!$AG$9:$AG$500,MATCH('Performance Summary'!A114,MeritBonus!$F$9:$F$500,0))</f>
        <v>Meets</v>
      </c>
      <c r="H114" s="32" t="str">
        <f>INDEX(MeritBonus!$CV$9:$CV$500,MATCH('Performance Summary'!A114,MeritBonus!$F$9:$F$500,0))</f>
        <v>67890;86672</v>
      </c>
      <c r="I114" s="32" t="str">
        <f t="shared" si="10"/>
        <v/>
      </c>
      <c r="J114" s="32" t="str">
        <f t="shared" si="11"/>
        <v>Craig Rae</v>
      </c>
      <c r="K114" s="32" t="str">
        <f t="shared" si="12"/>
        <v/>
      </c>
      <c r="L114" s="32" t="str">
        <f t="shared" si="13"/>
        <v/>
      </c>
      <c r="M114" s="1"/>
      <c r="N114" s="198" t="str">
        <f t="shared" si="9"/>
        <v>Show</v>
      </c>
      <c r="O114" s="1"/>
      <c r="P114" s="1"/>
      <c r="Q114" s="1"/>
      <c r="R114" s="1"/>
      <c r="S114" s="1"/>
      <c r="T114" s="1"/>
      <c r="U114" s="1"/>
      <c r="V114" s="98"/>
      <c r="W114" s="1"/>
      <c r="X114" s="1"/>
      <c r="Y114" s="1"/>
      <c r="Z114" s="1"/>
      <c r="AA114" s="1"/>
      <c r="AB114" s="1"/>
      <c r="AC114" s="1"/>
      <c r="AD114" s="1"/>
      <c r="AE114" s="1"/>
      <c r="AF114" s="98"/>
      <c r="AG114" s="1"/>
    </row>
    <row r="115" spans="1:33">
      <c r="A115" s="5">
        <v>7966</v>
      </c>
      <c r="B115" s="22" t="str">
        <f>INDEX(MeritBonus!$G$9:$G$500,MATCH('Performance Summary'!A115,MeritBonus!$F$9:$F$500,0))</f>
        <v>Alberta Beaver</v>
      </c>
      <c r="C115" s="22">
        <f>INDEX(MeritBonus!$L$9:$L$500,MATCH('Performance Summary'!A115,MeritBonus!$F$9:$F$500,0))</f>
        <v>29342</v>
      </c>
      <c r="D115" s="22" t="str">
        <f>INDEX(MeritBonus!$M$9:$M$500,MATCH('Performance Summary'!A115,MeritBonus!$F$9:$F$500,0))</f>
        <v>Steven Van</v>
      </c>
      <c r="E115" s="22" t="str">
        <f>INDEX(MeritBonus!$J$9:$J$500,MATCH('Performance Summary'!A115,MeritBonus!$F$9:$F$500,0))</f>
        <v>Midwest</v>
      </c>
      <c r="F115" s="22" t="str">
        <f>INDEX(MeritBonus!$N$9:$N$500,MATCH('Performance Summary'!A115,MeritBonus!$F$9:$F$500,0))</f>
        <v>Active</v>
      </c>
      <c r="G115" s="22" t="str">
        <f>INDEX(MeritBonus!$AG$9:$AG$500,MATCH('Performance Summary'!A115,MeritBonus!$F$9:$F$500,0))</f>
        <v>Meets</v>
      </c>
      <c r="H115" s="32" t="str">
        <f>INDEX(MeritBonus!$CV$9:$CV$500,MATCH('Performance Summary'!A115,MeritBonus!$F$9:$F$500,0))</f>
        <v>67890;86672</v>
      </c>
      <c r="I115" s="32" t="str">
        <f t="shared" si="10"/>
        <v/>
      </c>
      <c r="J115" s="32" t="str">
        <f t="shared" si="11"/>
        <v>Alberta Beaver</v>
      </c>
      <c r="K115" s="32" t="str">
        <f t="shared" si="12"/>
        <v/>
      </c>
      <c r="L115" s="32" t="str">
        <f t="shared" si="13"/>
        <v/>
      </c>
      <c r="M115" s="1"/>
      <c r="N115" s="198" t="str">
        <f t="shared" si="9"/>
        <v>Show</v>
      </c>
      <c r="O115" s="1"/>
      <c r="P115" s="1"/>
      <c r="Q115" s="1"/>
      <c r="R115" s="1"/>
      <c r="S115" s="1"/>
      <c r="T115" s="1"/>
      <c r="U115" s="1"/>
      <c r="V115" s="98"/>
      <c r="W115" s="1"/>
      <c r="X115" s="1"/>
      <c r="Y115" s="1"/>
      <c r="Z115" s="1"/>
      <c r="AA115" s="1"/>
      <c r="AB115" s="1"/>
      <c r="AC115" s="1"/>
      <c r="AD115" s="1"/>
      <c r="AE115" s="1"/>
      <c r="AF115" s="98"/>
      <c r="AG115" s="1"/>
    </row>
    <row r="116" spans="1:33">
      <c r="A116" s="5">
        <v>7972</v>
      </c>
      <c r="B116" s="22" t="str">
        <f>INDEX(MeritBonus!$G$9:$G$500,MATCH('Performance Summary'!A116,MeritBonus!$F$9:$F$500,0))</f>
        <v>Nora Fontes</v>
      </c>
      <c r="C116" s="22">
        <f>INDEX(MeritBonus!$L$9:$L$500,MATCH('Performance Summary'!A116,MeritBonus!$F$9:$F$500,0))</f>
        <v>29342</v>
      </c>
      <c r="D116" s="22" t="str">
        <f>INDEX(MeritBonus!$M$9:$M$500,MATCH('Performance Summary'!A116,MeritBonus!$F$9:$F$500,0))</f>
        <v>Steven Van</v>
      </c>
      <c r="E116" s="22" t="str">
        <f>INDEX(MeritBonus!$J$9:$J$500,MATCH('Performance Summary'!A116,MeritBonus!$F$9:$F$500,0))</f>
        <v>Midwest</v>
      </c>
      <c r="F116" s="22" t="str">
        <f>INDEX(MeritBonus!$N$9:$N$500,MATCH('Performance Summary'!A116,MeritBonus!$F$9:$F$500,0))</f>
        <v>Active</v>
      </c>
      <c r="G116" s="22" t="str">
        <f>INDEX(MeritBonus!$AG$9:$AG$500,MATCH('Performance Summary'!A116,MeritBonus!$F$9:$F$500,0))</f>
        <v>Meets</v>
      </c>
      <c r="H116" s="32" t="str">
        <f>INDEX(MeritBonus!$CV$9:$CV$500,MATCH('Performance Summary'!A116,MeritBonus!$F$9:$F$500,0))</f>
        <v>67890;86672</v>
      </c>
      <c r="I116" s="32" t="str">
        <f t="shared" si="10"/>
        <v/>
      </c>
      <c r="J116" s="32" t="str">
        <f t="shared" si="11"/>
        <v>Nora Fontes</v>
      </c>
      <c r="K116" s="32" t="str">
        <f t="shared" si="12"/>
        <v/>
      </c>
      <c r="L116" s="32" t="str">
        <f t="shared" si="13"/>
        <v/>
      </c>
      <c r="M116" s="1"/>
      <c r="N116" s="198" t="str">
        <f t="shared" si="9"/>
        <v>Show</v>
      </c>
      <c r="O116" s="1"/>
      <c r="P116" s="1"/>
      <c r="Q116" s="1"/>
      <c r="R116" s="1"/>
      <c r="S116" s="1"/>
      <c r="T116" s="1"/>
      <c r="U116" s="1"/>
      <c r="V116" s="98"/>
      <c r="W116" s="1"/>
      <c r="X116" s="1"/>
      <c r="Y116" s="1"/>
      <c r="Z116" s="1"/>
      <c r="AA116" s="1"/>
      <c r="AB116" s="1"/>
      <c r="AC116" s="1"/>
      <c r="AD116" s="1"/>
      <c r="AE116" s="1"/>
      <c r="AF116" s="98"/>
      <c r="AG116" s="1"/>
    </row>
    <row r="117" spans="1:33">
      <c r="A117" s="5">
        <v>8043</v>
      </c>
      <c r="B117" s="22" t="str">
        <f>INDEX(MeritBonus!$G$9:$G$500,MATCH('Performance Summary'!A117,MeritBonus!$F$9:$F$500,0))</f>
        <v>Vincent Gallego</v>
      </c>
      <c r="C117" s="22">
        <f>INDEX(MeritBonus!$L$9:$L$500,MATCH('Performance Summary'!A117,MeritBonus!$F$9:$F$500,0))</f>
        <v>29331</v>
      </c>
      <c r="D117" s="22" t="str">
        <f>INDEX(MeritBonus!$M$9:$M$500,MATCH('Performance Summary'!A117,MeritBonus!$F$9:$F$500,0))</f>
        <v>Jack Falkner</v>
      </c>
      <c r="E117" s="22" t="str">
        <f>INDEX(MeritBonus!$J$9:$J$500,MATCH('Performance Summary'!A117,MeritBonus!$F$9:$F$500,0))</f>
        <v>Midwest</v>
      </c>
      <c r="F117" s="22" t="str">
        <f>INDEX(MeritBonus!$N$9:$N$500,MATCH('Performance Summary'!A117,MeritBonus!$F$9:$F$500,0))</f>
        <v>Active</v>
      </c>
      <c r="G117" s="22" t="str">
        <f>INDEX(MeritBonus!$AG$9:$AG$500,MATCH('Performance Summary'!A117,MeritBonus!$F$9:$F$500,0))</f>
        <v>Below</v>
      </c>
      <c r="H117" s="32" t="str">
        <f>INDEX(MeritBonus!$CV$9:$CV$500,MATCH('Performance Summary'!A117,MeritBonus!$F$9:$F$500,0))</f>
        <v>67890;86672</v>
      </c>
      <c r="I117" s="32" t="str">
        <f t="shared" si="10"/>
        <v/>
      </c>
      <c r="J117" s="32" t="str">
        <f t="shared" si="11"/>
        <v/>
      </c>
      <c r="K117" s="32" t="str">
        <f t="shared" si="12"/>
        <v>Vincent Gallego</v>
      </c>
      <c r="L117" s="32" t="str">
        <f t="shared" si="13"/>
        <v/>
      </c>
      <c r="M117" s="1"/>
      <c r="N117" s="198" t="str">
        <f t="shared" si="9"/>
        <v>Show</v>
      </c>
      <c r="O117" s="1"/>
      <c r="P117" s="1"/>
      <c r="Q117" s="1"/>
      <c r="R117" s="1"/>
      <c r="S117" s="1"/>
      <c r="T117" s="1"/>
      <c r="U117" s="1"/>
      <c r="V117" s="98"/>
      <c r="W117" s="1"/>
      <c r="X117" s="1"/>
      <c r="Y117" s="1"/>
      <c r="Z117" s="1"/>
      <c r="AA117" s="1"/>
      <c r="AB117" s="1"/>
      <c r="AC117" s="1"/>
      <c r="AD117" s="1"/>
      <c r="AE117" s="1"/>
      <c r="AF117" s="98"/>
      <c r="AG117" s="1"/>
    </row>
    <row r="118" spans="1:33">
      <c r="A118" s="5">
        <v>8068</v>
      </c>
      <c r="B118" s="22" t="str">
        <f>INDEX(MeritBonus!$G$9:$G$500,MATCH('Performance Summary'!A118,MeritBonus!$F$9:$F$500,0))</f>
        <v>Juana Albrecht</v>
      </c>
      <c r="C118" s="22">
        <f>INDEX(MeritBonus!$L$9:$L$500,MATCH('Performance Summary'!A118,MeritBonus!$F$9:$F$500,0))</f>
        <v>29331</v>
      </c>
      <c r="D118" s="22" t="str">
        <f>INDEX(MeritBonus!$M$9:$M$500,MATCH('Performance Summary'!A118,MeritBonus!$F$9:$F$500,0))</f>
        <v>Jack Falkner</v>
      </c>
      <c r="E118" s="22" t="str">
        <f>INDEX(MeritBonus!$J$9:$J$500,MATCH('Performance Summary'!A118,MeritBonus!$F$9:$F$500,0))</f>
        <v>Midwest</v>
      </c>
      <c r="F118" s="22" t="str">
        <f>INDEX(MeritBonus!$N$9:$N$500,MATCH('Performance Summary'!A118,MeritBonus!$F$9:$F$500,0))</f>
        <v>Active</v>
      </c>
      <c r="G118" s="22" t="str">
        <f>INDEX(MeritBonus!$AG$9:$AG$500,MATCH('Performance Summary'!A118,MeritBonus!$F$9:$F$500,0))</f>
        <v>Meets</v>
      </c>
      <c r="H118" s="32" t="str">
        <f>INDEX(MeritBonus!$CV$9:$CV$500,MATCH('Performance Summary'!A118,MeritBonus!$F$9:$F$500,0))</f>
        <v>67890;86672</v>
      </c>
      <c r="I118" s="32" t="str">
        <f t="shared" si="10"/>
        <v/>
      </c>
      <c r="J118" s="32" t="str">
        <f t="shared" si="11"/>
        <v>Juana Albrecht</v>
      </c>
      <c r="K118" s="32" t="str">
        <f t="shared" si="12"/>
        <v/>
      </c>
      <c r="L118" s="32" t="str">
        <f t="shared" si="13"/>
        <v/>
      </c>
      <c r="M118" s="1"/>
      <c r="N118" s="198" t="str">
        <f t="shared" si="9"/>
        <v>Show</v>
      </c>
      <c r="O118" s="1"/>
      <c r="P118" s="1"/>
      <c r="Q118" s="1"/>
      <c r="R118" s="1"/>
      <c r="S118" s="1"/>
      <c r="T118" s="1"/>
      <c r="U118" s="1"/>
      <c r="V118" s="98"/>
      <c r="W118" s="1"/>
      <c r="X118" s="1"/>
      <c r="Y118" s="1"/>
      <c r="Z118" s="1"/>
      <c r="AA118" s="1"/>
      <c r="AB118" s="1"/>
      <c r="AC118" s="1"/>
      <c r="AD118" s="1"/>
      <c r="AE118" s="1"/>
      <c r="AF118" s="98"/>
      <c r="AG118" s="1"/>
    </row>
    <row r="119" spans="1:33">
      <c r="A119" s="5">
        <v>8074</v>
      </c>
      <c r="B119" s="22" t="str">
        <f>INDEX(MeritBonus!$G$9:$G$500,MATCH('Performance Summary'!A119,MeritBonus!$F$9:$F$500,0))</f>
        <v>Chris Wiegand</v>
      </c>
      <c r="C119" s="22">
        <f>INDEX(MeritBonus!$L$9:$L$500,MATCH('Performance Summary'!A119,MeritBonus!$F$9:$F$500,0))</f>
        <v>29342</v>
      </c>
      <c r="D119" s="22" t="str">
        <f>INDEX(MeritBonus!$M$9:$M$500,MATCH('Performance Summary'!A119,MeritBonus!$F$9:$F$500,0))</f>
        <v>Steven Van</v>
      </c>
      <c r="E119" s="22" t="str">
        <f>INDEX(MeritBonus!$J$9:$J$500,MATCH('Performance Summary'!A119,MeritBonus!$F$9:$F$500,0))</f>
        <v>Midwest</v>
      </c>
      <c r="F119" s="22" t="str">
        <f>INDEX(MeritBonus!$N$9:$N$500,MATCH('Performance Summary'!A119,MeritBonus!$F$9:$F$500,0))</f>
        <v>Active</v>
      </c>
      <c r="G119" s="22" t="str">
        <f>INDEX(MeritBonus!$AG$9:$AG$500,MATCH('Performance Summary'!A119,MeritBonus!$F$9:$F$500,0))</f>
        <v>Meets</v>
      </c>
      <c r="H119" s="32" t="str">
        <f>INDEX(MeritBonus!$CV$9:$CV$500,MATCH('Performance Summary'!A119,MeritBonus!$F$9:$F$500,0))</f>
        <v>67890;86672</v>
      </c>
      <c r="I119" s="32" t="str">
        <f t="shared" si="10"/>
        <v/>
      </c>
      <c r="J119" s="32" t="str">
        <f t="shared" si="11"/>
        <v>Chris Wiegand</v>
      </c>
      <c r="K119" s="32" t="str">
        <f t="shared" si="12"/>
        <v/>
      </c>
      <c r="L119" s="32" t="str">
        <f t="shared" si="13"/>
        <v/>
      </c>
      <c r="M119" s="1"/>
      <c r="N119" s="198" t="str">
        <f t="shared" si="9"/>
        <v>Show</v>
      </c>
      <c r="O119" s="1"/>
      <c r="P119" s="1"/>
      <c r="Q119" s="1"/>
      <c r="R119" s="1"/>
      <c r="S119" s="1"/>
      <c r="T119" s="1"/>
      <c r="U119" s="1"/>
      <c r="V119" s="98"/>
      <c r="W119" s="1"/>
      <c r="X119" s="1"/>
      <c r="Y119" s="1"/>
      <c r="Z119" s="1"/>
      <c r="AA119" s="1"/>
      <c r="AB119" s="1"/>
      <c r="AC119" s="1"/>
      <c r="AD119" s="1"/>
      <c r="AE119" s="1"/>
      <c r="AF119" s="98"/>
      <c r="AG119" s="1"/>
    </row>
    <row r="120" spans="1:33">
      <c r="A120" s="5">
        <v>8172</v>
      </c>
      <c r="B120" s="22" t="str">
        <f>INDEX(MeritBonus!$G$9:$G$500,MATCH('Performance Summary'!A120,MeritBonus!$F$9:$F$500,0))</f>
        <v>Ralph Serna</v>
      </c>
      <c r="C120" s="22">
        <f>INDEX(MeritBonus!$L$9:$L$500,MATCH('Performance Summary'!A120,MeritBonus!$F$9:$F$500,0))</f>
        <v>29331</v>
      </c>
      <c r="D120" s="22" t="str">
        <f>INDEX(MeritBonus!$M$9:$M$500,MATCH('Performance Summary'!A120,MeritBonus!$F$9:$F$500,0))</f>
        <v>Jack Falkner</v>
      </c>
      <c r="E120" s="22" t="str">
        <f>INDEX(MeritBonus!$J$9:$J$500,MATCH('Performance Summary'!A120,MeritBonus!$F$9:$F$500,0))</f>
        <v>Midwest</v>
      </c>
      <c r="F120" s="22" t="str">
        <f>INDEX(MeritBonus!$N$9:$N$500,MATCH('Performance Summary'!A120,MeritBonus!$F$9:$F$500,0))</f>
        <v>Active</v>
      </c>
      <c r="G120" s="22" t="str">
        <f>INDEX(MeritBonus!$AG$9:$AG$500,MATCH('Performance Summary'!A120,MeritBonus!$F$9:$F$500,0))</f>
        <v>Meets</v>
      </c>
      <c r="H120" s="32" t="str">
        <f>INDEX(MeritBonus!$CV$9:$CV$500,MATCH('Performance Summary'!A120,MeritBonus!$F$9:$F$500,0))</f>
        <v>67890;86672</v>
      </c>
      <c r="I120" s="32" t="str">
        <f t="shared" si="10"/>
        <v/>
      </c>
      <c r="J120" s="32" t="str">
        <f t="shared" si="11"/>
        <v>Ralph Serna</v>
      </c>
      <c r="K120" s="32" t="str">
        <f t="shared" si="12"/>
        <v/>
      </c>
      <c r="L120" s="32" t="str">
        <f t="shared" si="13"/>
        <v/>
      </c>
      <c r="M120" s="1"/>
      <c r="N120" s="198" t="str">
        <f t="shared" si="9"/>
        <v>Show</v>
      </c>
      <c r="O120" s="1"/>
      <c r="P120" s="1"/>
      <c r="Q120" s="1"/>
      <c r="R120" s="1"/>
      <c r="S120" s="1"/>
      <c r="T120" s="1"/>
      <c r="U120" s="1"/>
      <c r="V120" s="98"/>
      <c r="W120" s="1"/>
      <c r="X120" s="1"/>
      <c r="Y120" s="1"/>
      <c r="Z120" s="1"/>
      <c r="AA120" s="1"/>
      <c r="AB120" s="1"/>
      <c r="AC120" s="1"/>
      <c r="AD120" s="1"/>
      <c r="AE120" s="1"/>
      <c r="AF120" s="98"/>
      <c r="AG120" s="1"/>
    </row>
    <row r="121" spans="1:33">
      <c r="A121" s="5">
        <v>8431</v>
      </c>
      <c r="B121" s="22" t="str">
        <f>INDEX(MeritBonus!$G$9:$G$500,MATCH('Performance Summary'!A121,MeritBonus!$F$9:$F$500,0))</f>
        <v>Russell Cover</v>
      </c>
      <c r="C121" s="22">
        <f>INDEX(MeritBonus!$L$9:$L$500,MATCH('Performance Summary'!A121,MeritBonus!$F$9:$F$500,0))</f>
        <v>11351</v>
      </c>
      <c r="D121" s="22" t="str">
        <f>INDEX(MeritBonus!$M$9:$M$500,MATCH('Performance Summary'!A121,MeritBonus!$F$9:$F$500,0))</f>
        <v>Allison Felton</v>
      </c>
      <c r="E121" s="22" t="str">
        <f>INDEX(MeritBonus!$J$9:$J$500,MATCH('Performance Summary'!A121,MeritBonus!$F$9:$F$500,0))</f>
        <v>Midwest</v>
      </c>
      <c r="F121" s="22" t="str">
        <f>INDEX(MeritBonus!$N$9:$N$500,MATCH('Performance Summary'!A121,MeritBonus!$F$9:$F$500,0))</f>
        <v>Active</v>
      </c>
      <c r="G121" s="22" t="str">
        <f>INDEX(MeritBonus!$AG$9:$AG$500,MATCH('Performance Summary'!A121,MeritBonus!$F$9:$F$500,0))</f>
        <v>Exceeds</v>
      </c>
      <c r="H121" s="32" t="str">
        <f>INDEX(MeritBonus!$CV$9:$CV$500,MATCH('Performance Summary'!A121,MeritBonus!$F$9:$F$500,0))</f>
        <v>90876;99485</v>
      </c>
      <c r="I121" s="32" t="str">
        <f t="shared" si="10"/>
        <v>Russell Cover</v>
      </c>
      <c r="J121" s="32" t="str">
        <f t="shared" si="11"/>
        <v/>
      </c>
      <c r="K121" s="32" t="str">
        <f t="shared" si="12"/>
        <v/>
      </c>
      <c r="L121" s="32" t="str">
        <f t="shared" si="13"/>
        <v/>
      </c>
      <c r="M121" s="1"/>
      <c r="N121" s="198" t="str">
        <f t="shared" si="9"/>
        <v>Show</v>
      </c>
      <c r="O121" s="1"/>
      <c r="P121" s="1"/>
      <c r="Q121" s="1"/>
      <c r="R121" s="1"/>
      <c r="S121" s="1"/>
      <c r="T121" s="1"/>
      <c r="U121" s="1"/>
      <c r="V121" s="98"/>
      <c r="W121" s="1"/>
      <c r="X121" s="1"/>
      <c r="Y121" s="1"/>
      <c r="Z121" s="1"/>
      <c r="AA121" s="1"/>
      <c r="AB121" s="1"/>
      <c r="AC121" s="1"/>
      <c r="AD121" s="1"/>
      <c r="AE121" s="1"/>
      <c r="AF121" s="98"/>
      <c r="AG121" s="1"/>
    </row>
    <row r="122" spans="1:33">
      <c r="A122" s="5">
        <v>8551</v>
      </c>
      <c r="B122" s="22" t="str">
        <f>INDEX(MeritBonus!$G$9:$G$500,MATCH('Performance Summary'!A122,MeritBonus!$F$9:$F$500,0))</f>
        <v>Krista Norton</v>
      </c>
      <c r="C122" s="22">
        <f>INDEX(MeritBonus!$L$9:$L$500,MATCH('Performance Summary'!A122,MeritBonus!$F$9:$F$500,0))</f>
        <v>11308</v>
      </c>
      <c r="D122" s="22" t="str">
        <f>INDEX(MeritBonus!$M$9:$M$500,MATCH('Performance Summary'!A122,MeritBonus!$F$9:$F$500,0))</f>
        <v>Todd Falco</v>
      </c>
      <c r="E122" s="22" t="str">
        <f>INDEX(MeritBonus!$J$9:$J$500,MATCH('Performance Summary'!A122,MeritBonus!$F$9:$F$500,0))</f>
        <v>Midwest</v>
      </c>
      <c r="F122" s="22" t="str">
        <f>INDEX(MeritBonus!$N$9:$N$500,MATCH('Performance Summary'!A122,MeritBonus!$F$9:$F$500,0))</f>
        <v>Active</v>
      </c>
      <c r="G122" s="22" t="str">
        <f>INDEX(MeritBonus!$AG$9:$AG$500,MATCH('Performance Summary'!A122,MeritBonus!$F$9:$F$500,0))</f>
        <v>Meets</v>
      </c>
      <c r="H122" s="32" t="str">
        <f>INDEX(MeritBonus!$CV$9:$CV$500,MATCH('Performance Summary'!A122,MeritBonus!$F$9:$F$500,0))</f>
        <v>67890;99485</v>
      </c>
      <c r="I122" s="32" t="str">
        <f t="shared" si="10"/>
        <v/>
      </c>
      <c r="J122" s="32" t="str">
        <f t="shared" si="11"/>
        <v>Krista Norton</v>
      </c>
      <c r="K122" s="32" t="str">
        <f t="shared" si="12"/>
        <v/>
      </c>
      <c r="L122" s="32" t="str">
        <f t="shared" si="13"/>
        <v/>
      </c>
      <c r="M122" s="1"/>
      <c r="N122" s="198" t="str">
        <f t="shared" si="9"/>
        <v>Show</v>
      </c>
      <c r="O122" s="1"/>
      <c r="P122" s="1"/>
      <c r="Q122" s="1"/>
      <c r="R122" s="1"/>
      <c r="S122" s="1"/>
      <c r="T122" s="1"/>
      <c r="U122" s="1"/>
      <c r="V122" s="98"/>
      <c r="W122" s="1"/>
      <c r="X122" s="1"/>
      <c r="Y122" s="1"/>
      <c r="Z122" s="1"/>
      <c r="AA122" s="1"/>
      <c r="AB122" s="1"/>
      <c r="AC122" s="1"/>
      <c r="AD122" s="1"/>
      <c r="AE122" s="1"/>
      <c r="AF122" s="98"/>
      <c r="AG122" s="1"/>
    </row>
    <row r="123" spans="1:33">
      <c r="A123" s="5">
        <v>8816</v>
      </c>
      <c r="B123" s="22" t="str">
        <f>INDEX(MeritBonus!$G$9:$G$500,MATCH('Performance Summary'!A123,MeritBonus!$F$9:$F$500,0))</f>
        <v>Ronald Lenhart</v>
      </c>
      <c r="C123" s="22">
        <f>INDEX(MeritBonus!$L$9:$L$500,MATCH('Performance Summary'!A123,MeritBonus!$F$9:$F$500,0))</f>
        <v>11308</v>
      </c>
      <c r="D123" s="22" t="str">
        <f>INDEX(MeritBonus!$M$9:$M$500,MATCH('Performance Summary'!A123,MeritBonus!$F$9:$F$500,0))</f>
        <v>Todd Falco</v>
      </c>
      <c r="E123" s="22" t="str">
        <f>INDEX(MeritBonus!$J$9:$J$500,MATCH('Performance Summary'!A123,MeritBonus!$F$9:$F$500,0))</f>
        <v>Midwest</v>
      </c>
      <c r="F123" s="22" t="str">
        <f>INDEX(MeritBonus!$N$9:$N$500,MATCH('Performance Summary'!A123,MeritBonus!$F$9:$F$500,0))</f>
        <v>Active</v>
      </c>
      <c r="G123" s="22" t="str">
        <f>INDEX(MeritBonus!$AG$9:$AG$500,MATCH('Performance Summary'!A123,MeritBonus!$F$9:$F$500,0))</f>
        <v>Meets</v>
      </c>
      <c r="H123" s="32" t="str">
        <f>INDEX(MeritBonus!$CV$9:$CV$500,MATCH('Performance Summary'!A123,MeritBonus!$F$9:$F$500,0))</f>
        <v>90876;36523</v>
      </c>
      <c r="I123" s="32" t="str">
        <f t="shared" si="10"/>
        <v/>
      </c>
      <c r="J123" s="32" t="str">
        <f t="shared" si="11"/>
        <v>Ronald Lenhart</v>
      </c>
      <c r="K123" s="32" t="str">
        <f t="shared" si="12"/>
        <v/>
      </c>
      <c r="L123" s="32" t="str">
        <f t="shared" si="13"/>
        <v/>
      </c>
      <c r="M123" s="1"/>
      <c r="N123" s="198" t="str">
        <f t="shared" si="9"/>
        <v>Show</v>
      </c>
      <c r="O123" s="1"/>
      <c r="P123" s="1"/>
      <c r="Q123" s="1"/>
      <c r="R123" s="1"/>
      <c r="S123" s="1"/>
      <c r="T123" s="1"/>
      <c r="U123" s="1"/>
      <c r="V123" s="98"/>
      <c r="W123" s="1"/>
      <c r="X123" s="1"/>
      <c r="Y123" s="1"/>
      <c r="Z123" s="1"/>
      <c r="AA123" s="1"/>
      <c r="AB123" s="1"/>
      <c r="AC123" s="1"/>
      <c r="AD123" s="1"/>
      <c r="AE123" s="1"/>
      <c r="AF123" s="98"/>
      <c r="AG123" s="1"/>
    </row>
    <row r="124" spans="1:33">
      <c r="A124" s="5">
        <v>8914</v>
      </c>
      <c r="B124" s="22" t="str">
        <f>INDEX(MeritBonus!$G$9:$G$500,MATCH('Performance Summary'!A124,MeritBonus!$F$9:$F$500,0))</f>
        <v>Carl Lackey</v>
      </c>
      <c r="C124" s="22">
        <f>INDEX(MeritBonus!$L$9:$L$500,MATCH('Performance Summary'!A124,MeritBonus!$F$9:$F$500,0))</f>
        <v>29331</v>
      </c>
      <c r="D124" s="22" t="str">
        <f>INDEX(MeritBonus!$M$9:$M$500,MATCH('Performance Summary'!A124,MeritBonus!$F$9:$F$500,0))</f>
        <v>Jack Falkner</v>
      </c>
      <c r="E124" s="22" t="str">
        <f>INDEX(MeritBonus!$J$9:$J$500,MATCH('Performance Summary'!A124,MeritBonus!$F$9:$F$500,0))</f>
        <v>Midwest</v>
      </c>
      <c r="F124" s="22" t="str">
        <f>INDEX(MeritBonus!$N$9:$N$500,MATCH('Performance Summary'!A124,MeritBonus!$F$9:$F$500,0))</f>
        <v>Active</v>
      </c>
      <c r="G124" s="22" t="str">
        <f>INDEX(MeritBonus!$AG$9:$AG$500,MATCH('Performance Summary'!A124,MeritBonus!$F$9:$F$500,0))</f>
        <v>Meets</v>
      </c>
      <c r="H124" s="32" t="str">
        <f>INDEX(MeritBonus!$CV$9:$CV$500,MATCH('Performance Summary'!A124,MeritBonus!$F$9:$F$500,0))</f>
        <v>67890;86672</v>
      </c>
      <c r="I124" s="32" t="str">
        <f t="shared" si="10"/>
        <v/>
      </c>
      <c r="J124" s="32" t="str">
        <f t="shared" si="11"/>
        <v>Carl Lackey</v>
      </c>
      <c r="K124" s="32" t="str">
        <f t="shared" si="12"/>
        <v/>
      </c>
      <c r="L124" s="32" t="str">
        <f t="shared" si="13"/>
        <v/>
      </c>
      <c r="M124" s="1"/>
      <c r="N124" s="198" t="str">
        <f t="shared" si="9"/>
        <v>Show</v>
      </c>
      <c r="O124" s="1"/>
      <c r="P124" s="1"/>
      <c r="Q124" s="1"/>
      <c r="R124" s="1"/>
      <c r="S124" s="1"/>
      <c r="T124" s="1"/>
      <c r="U124" s="1"/>
      <c r="V124" s="98"/>
      <c r="W124" s="1"/>
      <c r="X124" s="1"/>
      <c r="Y124" s="1"/>
      <c r="Z124" s="1"/>
      <c r="AA124" s="1"/>
      <c r="AB124" s="1"/>
      <c r="AC124" s="1"/>
      <c r="AD124" s="1"/>
      <c r="AE124" s="1"/>
      <c r="AF124" s="98"/>
      <c r="AG124" s="1"/>
    </row>
    <row r="125" spans="1:33">
      <c r="A125" s="5">
        <v>8922</v>
      </c>
      <c r="B125" s="22" t="str">
        <f>INDEX(MeritBonus!$G$9:$G$500,MATCH('Performance Summary'!A125,MeritBonus!$F$9:$F$500,0))</f>
        <v>Mark Quiles</v>
      </c>
      <c r="C125" s="22">
        <f>INDEX(MeritBonus!$L$9:$L$500,MATCH('Performance Summary'!A125,MeritBonus!$F$9:$F$500,0))</f>
        <v>29331</v>
      </c>
      <c r="D125" s="22" t="str">
        <f>INDEX(MeritBonus!$M$9:$M$500,MATCH('Performance Summary'!A125,MeritBonus!$F$9:$F$500,0))</f>
        <v>Jack Falkner</v>
      </c>
      <c r="E125" s="22" t="str">
        <f>INDEX(MeritBonus!$J$9:$J$500,MATCH('Performance Summary'!A125,MeritBonus!$F$9:$F$500,0))</f>
        <v>Midwest</v>
      </c>
      <c r="F125" s="22" t="str">
        <f>INDEX(MeritBonus!$N$9:$N$500,MATCH('Performance Summary'!A125,MeritBonus!$F$9:$F$500,0))</f>
        <v>Active</v>
      </c>
      <c r="G125" s="22" t="str">
        <f>INDEX(MeritBonus!$AG$9:$AG$500,MATCH('Performance Summary'!A125,MeritBonus!$F$9:$F$500,0))</f>
        <v>Below</v>
      </c>
      <c r="H125" s="32" t="str">
        <f>INDEX(MeritBonus!$CV$9:$CV$500,MATCH('Performance Summary'!A125,MeritBonus!$F$9:$F$500,0))</f>
        <v>67890;86672</v>
      </c>
      <c r="I125" s="32" t="str">
        <f t="shared" si="10"/>
        <v/>
      </c>
      <c r="J125" s="32" t="str">
        <f t="shared" si="11"/>
        <v/>
      </c>
      <c r="K125" s="32" t="str">
        <f t="shared" si="12"/>
        <v>Mark Quiles</v>
      </c>
      <c r="L125" s="32" t="str">
        <f t="shared" si="13"/>
        <v/>
      </c>
      <c r="M125" s="1"/>
      <c r="N125" s="198" t="str">
        <f t="shared" si="9"/>
        <v>Show</v>
      </c>
      <c r="O125" s="1"/>
      <c r="P125" s="1"/>
      <c r="Q125" s="1"/>
      <c r="R125" s="1"/>
      <c r="S125" s="1"/>
      <c r="T125" s="1"/>
      <c r="U125" s="1"/>
      <c r="V125" s="98"/>
      <c r="W125" s="1"/>
      <c r="X125" s="1"/>
      <c r="Y125" s="1"/>
      <c r="Z125" s="1"/>
      <c r="AA125" s="1"/>
      <c r="AB125" s="1"/>
      <c r="AC125" s="1"/>
      <c r="AD125" s="1"/>
      <c r="AE125" s="1"/>
      <c r="AF125" s="98"/>
      <c r="AG125" s="1"/>
    </row>
    <row r="126" spans="1:33">
      <c r="A126" s="5">
        <v>8995</v>
      </c>
      <c r="B126" s="22" t="str">
        <f>INDEX(MeritBonus!$G$9:$G$500,MATCH('Performance Summary'!A126,MeritBonus!$F$9:$F$500,0))</f>
        <v>Eugene Holcombe</v>
      </c>
      <c r="C126" s="22">
        <f>INDEX(MeritBonus!$L$9:$L$500,MATCH('Performance Summary'!A126,MeritBonus!$F$9:$F$500,0))</f>
        <v>29331</v>
      </c>
      <c r="D126" s="22" t="str">
        <f>INDEX(MeritBonus!$M$9:$M$500,MATCH('Performance Summary'!A126,MeritBonus!$F$9:$F$500,0))</f>
        <v>Jack Falkner</v>
      </c>
      <c r="E126" s="22" t="str">
        <f>INDEX(MeritBonus!$J$9:$J$500,MATCH('Performance Summary'!A126,MeritBonus!$F$9:$F$500,0))</f>
        <v>Midwest</v>
      </c>
      <c r="F126" s="22" t="str">
        <f>INDEX(MeritBonus!$N$9:$N$500,MATCH('Performance Summary'!A126,MeritBonus!$F$9:$F$500,0))</f>
        <v>Active</v>
      </c>
      <c r="G126" s="22" t="str">
        <f>INDEX(MeritBonus!$AG$9:$AG$500,MATCH('Performance Summary'!A126,MeritBonus!$F$9:$F$500,0))</f>
        <v>Meets</v>
      </c>
      <c r="H126" s="32" t="str">
        <f>INDEX(MeritBonus!$CV$9:$CV$500,MATCH('Performance Summary'!A126,MeritBonus!$F$9:$F$500,0))</f>
        <v>67890;86672</v>
      </c>
      <c r="I126" s="32" t="str">
        <f t="shared" si="10"/>
        <v/>
      </c>
      <c r="J126" s="32" t="str">
        <f t="shared" si="11"/>
        <v>Eugene Holcombe</v>
      </c>
      <c r="K126" s="32" t="str">
        <f t="shared" si="12"/>
        <v/>
      </c>
      <c r="L126" s="32" t="str">
        <f t="shared" si="13"/>
        <v/>
      </c>
      <c r="M126" s="1"/>
      <c r="N126" s="198" t="str">
        <f t="shared" si="9"/>
        <v>Show</v>
      </c>
      <c r="O126" s="1"/>
      <c r="P126" s="1"/>
      <c r="Q126" s="1"/>
      <c r="R126" s="1"/>
      <c r="S126" s="1"/>
      <c r="T126" s="1"/>
      <c r="U126" s="1"/>
      <c r="V126" s="98"/>
      <c r="W126" s="1"/>
      <c r="X126" s="1"/>
      <c r="Y126" s="1"/>
      <c r="Z126" s="1"/>
      <c r="AA126" s="1"/>
      <c r="AB126" s="1"/>
      <c r="AC126" s="1"/>
      <c r="AD126" s="1"/>
      <c r="AE126" s="1"/>
      <c r="AF126" s="98"/>
      <c r="AG126" s="1"/>
    </row>
    <row r="127" spans="1:33">
      <c r="A127" s="5">
        <v>9020</v>
      </c>
      <c r="B127" s="22" t="str">
        <f>INDEX(MeritBonus!$G$9:$G$500,MATCH('Performance Summary'!A127,MeritBonus!$F$9:$F$500,0))</f>
        <v>Ann Arango</v>
      </c>
      <c r="C127" s="22">
        <f>INDEX(MeritBonus!$L$9:$L$500,MATCH('Performance Summary'!A127,MeritBonus!$F$9:$F$500,0))</f>
        <v>29331</v>
      </c>
      <c r="D127" s="22" t="str">
        <f>INDEX(MeritBonus!$M$9:$M$500,MATCH('Performance Summary'!A127,MeritBonus!$F$9:$F$500,0))</f>
        <v>Jack Falkner</v>
      </c>
      <c r="E127" s="22" t="str">
        <f>INDEX(MeritBonus!$J$9:$J$500,MATCH('Performance Summary'!A127,MeritBonus!$F$9:$F$500,0))</f>
        <v>Midwest</v>
      </c>
      <c r="F127" s="22" t="str">
        <f>INDEX(MeritBonus!$N$9:$N$500,MATCH('Performance Summary'!A127,MeritBonus!$F$9:$F$500,0))</f>
        <v>Active</v>
      </c>
      <c r="G127" s="22" t="str">
        <f>INDEX(MeritBonus!$AG$9:$AG$500,MATCH('Performance Summary'!A127,MeritBonus!$F$9:$F$500,0))</f>
        <v>Meets</v>
      </c>
      <c r="H127" s="32" t="str">
        <f>INDEX(MeritBonus!$CV$9:$CV$500,MATCH('Performance Summary'!A127,MeritBonus!$F$9:$F$500,0))</f>
        <v>67890;86672</v>
      </c>
      <c r="I127" s="32" t="str">
        <f t="shared" si="10"/>
        <v/>
      </c>
      <c r="J127" s="32" t="str">
        <f t="shared" si="11"/>
        <v>Ann Arango</v>
      </c>
      <c r="K127" s="32" t="str">
        <f t="shared" si="12"/>
        <v/>
      </c>
      <c r="L127" s="32" t="str">
        <f t="shared" si="13"/>
        <v/>
      </c>
      <c r="M127" s="1"/>
      <c r="N127" s="198" t="str">
        <f t="shared" si="9"/>
        <v>Show</v>
      </c>
      <c r="O127" s="1"/>
      <c r="P127" s="1"/>
      <c r="Q127" s="1"/>
      <c r="R127" s="1"/>
      <c r="S127" s="1"/>
      <c r="T127" s="1"/>
      <c r="U127" s="1"/>
      <c r="V127" s="98"/>
      <c r="W127" s="1"/>
      <c r="X127" s="1"/>
      <c r="Y127" s="1"/>
      <c r="Z127" s="1"/>
      <c r="AA127" s="1"/>
      <c r="AB127" s="1"/>
      <c r="AC127" s="1"/>
      <c r="AD127" s="1"/>
      <c r="AE127" s="1"/>
      <c r="AF127" s="98"/>
      <c r="AG127" s="1"/>
    </row>
    <row r="128" spans="1:33">
      <c r="A128" s="5">
        <v>9221</v>
      </c>
      <c r="B128" s="22" t="str">
        <f>INDEX(MeritBonus!$G$9:$G$500,MATCH('Performance Summary'!A128,MeritBonus!$F$9:$F$500,0))</f>
        <v>Carolyn Bump</v>
      </c>
      <c r="C128" s="22">
        <f>INDEX(MeritBonus!$L$9:$L$500,MATCH('Performance Summary'!A128,MeritBonus!$F$9:$F$500,0))</f>
        <v>29331</v>
      </c>
      <c r="D128" s="22" t="str">
        <f>INDEX(MeritBonus!$M$9:$M$500,MATCH('Performance Summary'!A128,MeritBonus!$F$9:$F$500,0))</f>
        <v>Jack Falkner</v>
      </c>
      <c r="E128" s="22" t="str">
        <f>INDEX(MeritBonus!$J$9:$J$500,MATCH('Performance Summary'!A128,MeritBonus!$F$9:$F$500,0))</f>
        <v>Midwest</v>
      </c>
      <c r="F128" s="22" t="str">
        <f>INDEX(MeritBonus!$N$9:$N$500,MATCH('Performance Summary'!A128,MeritBonus!$F$9:$F$500,0))</f>
        <v>Active</v>
      </c>
      <c r="G128" s="22" t="str">
        <f>INDEX(MeritBonus!$AG$9:$AG$500,MATCH('Performance Summary'!A128,MeritBonus!$F$9:$F$500,0))</f>
        <v>Exceeds</v>
      </c>
      <c r="H128" s="32" t="str">
        <f>INDEX(MeritBonus!$CV$9:$CV$500,MATCH('Performance Summary'!A128,MeritBonus!$F$9:$F$500,0))</f>
        <v>67890;86672</v>
      </c>
      <c r="I128" s="32" t="str">
        <f t="shared" si="10"/>
        <v>Carolyn Bump</v>
      </c>
      <c r="J128" s="32" t="str">
        <f t="shared" si="11"/>
        <v/>
      </c>
      <c r="K128" s="32" t="str">
        <f t="shared" si="12"/>
        <v/>
      </c>
      <c r="L128" s="32" t="str">
        <f t="shared" si="13"/>
        <v/>
      </c>
      <c r="M128" s="1"/>
      <c r="N128" s="198" t="str">
        <f t="shared" si="9"/>
        <v>Show</v>
      </c>
      <c r="O128" s="1"/>
      <c r="P128" s="1"/>
      <c r="Q128" s="1"/>
      <c r="R128" s="1"/>
      <c r="S128" s="1"/>
      <c r="T128" s="1"/>
      <c r="U128" s="1"/>
      <c r="V128" s="98"/>
      <c r="W128" s="1"/>
      <c r="X128" s="1"/>
      <c r="Y128" s="1"/>
      <c r="Z128" s="1"/>
      <c r="AA128" s="1"/>
      <c r="AB128" s="1"/>
      <c r="AC128" s="1"/>
      <c r="AD128" s="1"/>
      <c r="AE128" s="1"/>
      <c r="AF128" s="98"/>
      <c r="AG128" s="1"/>
    </row>
    <row r="129" spans="1:33">
      <c r="A129" s="5">
        <v>9230</v>
      </c>
      <c r="B129" s="22" t="str">
        <f>INDEX(MeritBonus!$G$9:$G$500,MATCH('Performance Summary'!A129,MeritBonus!$F$9:$F$500,0))</f>
        <v>Blanche Danner</v>
      </c>
      <c r="C129" s="22">
        <f>INDEX(MeritBonus!$L$9:$L$500,MATCH('Performance Summary'!A129,MeritBonus!$F$9:$F$500,0))</f>
        <v>11351</v>
      </c>
      <c r="D129" s="22" t="str">
        <f>INDEX(MeritBonus!$M$9:$M$500,MATCH('Performance Summary'!A129,MeritBonus!$F$9:$F$500,0))</f>
        <v>Allison Felton</v>
      </c>
      <c r="E129" s="22" t="str">
        <f>INDEX(MeritBonus!$J$9:$J$500,MATCH('Performance Summary'!A129,MeritBonus!$F$9:$F$500,0))</f>
        <v>East</v>
      </c>
      <c r="F129" s="22" t="str">
        <f>INDEX(MeritBonus!$N$9:$N$500,MATCH('Performance Summary'!A129,MeritBonus!$F$9:$F$500,0))</f>
        <v>Active</v>
      </c>
      <c r="G129" s="22" t="str">
        <f>INDEX(MeritBonus!$AG$9:$AG$500,MATCH('Performance Summary'!A129,MeritBonus!$F$9:$F$500,0))</f>
        <v>Meets</v>
      </c>
      <c r="H129" s="32" t="str">
        <f>INDEX(MeritBonus!$CV$9:$CV$500,MATCH('Performance Summary'!A129,MeritBonus!$F$9:$F$500,0))</f>
        <v>90876;99485</v>
      </c>
      <c r="I129" s="32" t="str">
        <f t="shared" si="10"/>
        <v/>
      </c>
      <c r="J129" s="32" t="str">
        <f t="shared" si="11"/>
        <v>Blanche Danner</v>
      </c>
      <c r="K129" s="32" t="str">
        <f t="shared" si="12"/>
        <v/>
      </c>
      <c r="L129" s="32" t="str">
        <f t="shared" si="13"/>
        <v/>
      </c>
      <c r="M129" s="1"/>
      <c r="N129" s="198" t="str">
        <f t="shared" si="9"/>
        <v>Show</v>
      </c>
      <c r="O129" s="1"/>
      <c r="P129" s="1"/>
      <c r="Q129" s="1"/>
      <c r="R129" s="1"/>
      <c r="S129" s="1"/>
      <c r="T129" s="1"/>
      <c r="U129" s="1"/>
      <c r="V129" s="98"/>
      <c r="W129" s="1"/>
      <c r="X129" s="1"/>
      <c r="Y129" s="1"/>
      <c r="Z129" s="1"/>
      <c r="AA129" s="1"/>
      <c r="AB129" s="1"/>
      <c r="AC129" s="1"/>
      <c r="AD129" s="1"/>
      <c r="AE129" s="1"/>
      <c r="AF129" s="98"/>
      <c r="AG129" s="1"/>
    </row>
    <row r="130" spans="1:33">
      <c r="A130" s="5">
        <v>9239</v>
      </c>
      <c r="B130" s="22" t="str">
        <f>INDEX(MeritBonus!$G$9:$G$500,MATCH('Performance Summary'!A130,MeritBonus!$F$9:$F$500,0))</f>
        <v>Elsie Keeling</v>
      </c>
      <c r="C130" s="22">
        <f>INDEX(MeritBonus!$L$9:$L$500,MATCH('Performance Summary'!A130,MeritBonus!$F$9:$F$500,0))</f>
        <v>11498</v>
      </c>
      <c r="D130" s="22" t="str">
        <f>INDEX(MeritBonus!$M$9:$M$500,MATCH('Performance Summary'!A130,MeritBonus!$F$9:$F$500,0))</f>
        <v>John Jaworski</v>
      </c>
      <c r="E130" s="22" t="str">
        <f>INDEX(MeritBonus!$J$9:$J$500,MATCH('Performance Summary'!A130,MeritBonus!$F$9:$F$500,0))</f>
        <v>South</v>
      </c>
      <c r="F130" s="22" t="str">
        <f>INDEX(MeritBonus!$N$9:$N$500,MATCH('Performance Summary'!A130,MeritBonus!$F$9:$F$500,0))</f>
        <v>Active</v>
      </c>
      <c r="G130" s="22" t="str">
        <f>INDEX(MeritBonus!$AG$9:$AG$500,MATCH('Performance Summary'!A130,MeritBonus!$F$9:$F$500,0))</f>
        <v>Below</v>
      </c>
      <c r="H130" s="32" t="str">
        <f>INDEX(MeritBonus!$CV$9:$CV$500,MATCH('Performance Summary'!A130,MeritBonus!$F$9:$F$500,0))</f>
        <v>99485;36523</v>
      </c>
      <c r="I130" s="32" t="str">
        <f t="shared" si="10"/>
        <v/>
      </c>
      <c r="J130" s="32" t="str">
        <f t="shared" si="11"/>
        <v/>
      </c>
      <c r="K130" s="32" t="str">
        <f t="shared" si="12"/>
        <v>Elsie Keeling</v>
      </c>
      <c r="L130" s="32" t="str">
        <f t="shared" si="13"/>
        <v/>
      </c>
      <c r="M130" s="1"/>
      <c r="N130" s="198" t="str">
        <f t="shared" ref="N130:N193" si="14">IF(OR(LEN(I130)&gt;0,LEN(J130)&gt;0,LEN(K130)&gt;0,LEN(L130)&gt;0),"Show","")</f>
        <v>Show</v>
      </c>
      <c r="O130" s="1"/>
      <c r="P130" s="1"/>
      <c r="Q130" s="1"/>
      <c r="R130" s="1"/>
      <c r="S130" s="1"/>
      <c r="T130" s="1"/>
      <c r="U130" s="1"/>
      <c r="V130" s="98"/>
      <c r="W130" s="1"/>
      <c r="X130" s="1"/>
      <c r="Y130" s="1"/>
      <c r="Z130" s="1"/>
      <c r="AA130" s="1"/>
      <c r="AB130" s="1"/>
      <c r="AC130" s="1"/>
      <c r="AD130" s="1"/>
      <c r="AE130" s="1"/>
      <c r="AF130" s="98"/>
      <c r="AG130" s="1"/>
    </row>
    <row r="131" spans="1:33">
      <c r="A131" s="5">
        <v>9247</v>
      </c>
      <c r="B131" s="22" t="str">
        <f>INDEX(MeritBonus!$G$9:$G$500,MATCH('Performance Summary'!A131,MeritBonus!$F$9:$F$500,0))</f>
        <v>Katherine Stamp</v>
      </c>
      <c r="C131" s="22">
        <f>INDEX(MeritBonus!$L$9:$L$500,MATCH('Performance Summary'!A131,MeritBonus!$F$9:$F$500,0))</f>
        <v>29331</v>
      </c>
      <c r="D131" s="22" t="str">
        <f>INDEX(MeritBonus!$M$9:$M$500,MATCH('Performance Summary'!A131,MeritBonus!$F$9:$F$500,0))</f>
        <v>Jack Falkner</v>
      </c>
      <c r="E131" s="22" t="str">
        <f>INDEX(MeritBonus!$J$9:$J$500,MATCH('Performance Summary'!A131,MeritBonus!$F$9:$F$500,0))</f>
        <v>Midwest</v>
      </c>
      <c r="F131" s="22" t="str">
        <f>INDEX(MeritBonus!$N$9:$N$500,MATCH('Performance Summary'!A131,MeritBonus!$F$9:$F$500,0))</f>
        <v>Active</v>
      </c>
      <c r="G131" s="22" t="str">
        <f>INDEX(MeritBonus!$AG$9:$AG$500,MATCH('Performance Summary'!A131,MeritBonus!$F$9:$F$500,0))</f>
        <v>Meets</v>
      </c>
      <c r="H131" s="32" t="str">
        <f>INDEX(MeritBonus!$CV$9:$CV$500,MATCH('Performance Summary'!A131,MeritBonus!$F$9:$F$500,0))</f>
        <v>67890;86672</v>
      </c>
      <c r="I131" s="32" t="str">
        <f t="shared" ref="I131:I194" si="15">IF(G131=$I$1,B131,"")</f>
        <v/>
      </c>
      <c r="J131" s="32" t="str">
        <f t="shared" ref="J131:J194" si="16">IF(G131=$J$1,B131,"")</f>
        <v>Katherine Stamp</v>
      </c>
      <c r="K131" s="32" t="str">
        <f t="shared" ref="K131:K194" si="17">IF(G131=$K$1,B131,"")</f>
        <v/>
      </c>
      <c r="L131" s="32" t="str">
        <f t="shared" ref="L131:L194" si="18">IF(G131="",B131,"")</f>
        <v/>
      </c>
      <c r="M131" s="1"/>
      <c r="N131" s="198" t="str">
        <f t="shared" si="14"/>
        <v>Show</v>
      </c>
      <c r="O131" s="1"/>
      <c r="P131" s="1"/>
      <c r="Q131" s="1"/>
      <c r="R131" s="1"/>
      <c r="S131" s="1"/>
      <c r="T131" s="1"/>
      <c r="U131" s="1"/>
      <c r="V131" s="98"/>
      <c r="W131" s="1"/>
      <c r="X131" s="1"/>
      <c r="Y131" s="1"/>
      <c r="Z131" s="1"/>
      <c r="AA131" s="1"/>
      <c r="AB131" s="1"/>
      <c r="AC131" s="1"/>
      <c r="AD131" s="1"/>
      <c r="AE131" s="1"/>
      <c r="AF131" s="98"/>
      <c r="AG131" s="1"/>
    </row>
    <row r="132" spans="1:33">
      <c r="A132" s="5">
        <v>9265</v>
      </c>
      <c r="B132" s="22" t="str">
        <f>INDEX(MeritBonus!$G$9:$G$500,MATCH('Performance Summary'!A132,MeritBonus!$F$9:$F$500,0))</f>
        <v>Joshua Darnell</v>
      </c>
      <c r="C132" s="22">
        <f>INDEX(MeritBonus!$L$9:$L$500,MATCH('Performance Summary'!A132,MeritBonus!$F$9:$F$500,0))</f>
        <v>29331</v>
      </c>
      <c r="D132" s="22" t="str">
        <f>INDEX(MeritBonus!$M$9:$M$500,MATCH('Performance Summary'!A132,MeritBonus!$F$9:$F$500,0))</f>
        <v>Jack Falkner</v>
      </c>
      <c r="E132" s="22" t="str">
        <f>INDEX(MeritBonus!$J$9:$J$500,MATCH('Performance Summary'!A132,MeritBonus!$F$9:$F$500,0))</f>
        <v>Midwest</v>
      </c>
      <c r="F132" s="22" t="str">
        <f>INDEX(MeritBonus!$N$9:$N$500,MATCH('Performance Summary'!A132,MeritBonus!$F$9:$F$500,0))</f>
        <v>Active</v>
      </c>
      <c r="G132" s="22" t="str">
        <f>INDEX(MeritBonus!$AG$9:$AG$500,MATCH('Performance Summary'!A132,MeritBonus!$F$9:$F$500,0))</f>
        <v>Meets</v>
      </c>
      <c r="H132" s="32" t="str">
        <f>INDEX(MeritBonus!$CV$9:$CV$500,MATCH('Performance Summary'!A132,MeritBonus!$F$9:$F$500,0))</f>
        <v>67890;86672</v>
      </c>
      <c r="I132" s="32" t="str">
        <f t="shared" si="15"/>
        <v/>
      </c>
      <c r="J132" s="32" t="str">
        <f t="shared" si="16"/>
        <v>Joshua Darnell</v>
      </c>
      <c r="K132" s="32" t="str">
        <f t="shared" si="17"/>
        <v/>
      </c>
      <c r="L132" s="32" t="str">
        <f t="shared" si="18"/>
        <v/>
      </c>
      <c r="M132" s="1"/>
      <c r="N132" s="198" t="str">
        <f t="shared" si="14"/>
        <v>Show</v>
      </c>
      <c r="O132" s="1"/>
      <c r="P132" s="1"/>
      <c r="Q132" s="1"/>
      <c r="R132" s="1"/>
      <c r="S132" s="1"/>
      <c r="T132" s="1"/>
      <c r="U132" s="1"/>
      <c r="V132" s="98"/>
      <c r="W132" s="1"/>
      <c r="X132" s="1"/>
      <c r="Y132" s="1"/>
      <c r="Z132" s="1"/>
      <c r="AA132" s="1"/>
      <c r="AB132" s="1"/>
      <c r="AC132" s="1"/>
      <c r="AD132" s="1"/>
      <c r="AE132" s="1"/>
      <c r="AF132" s="98"/>
      <c r="AG132" s="1"/>
    </row>
    <row r="133" spans="1:33">
      <c r="A133" s="5">
        <v>9288</v>
      </c>
      <c r="B133" s="22" t="str">
        <f>INDEX(MeritBonus!$G$9:$G$500,MATCH('Performance Summary'!A133,MeritBonus!$F$9:$F$500,0))</f>
        <v>Sheryl Stumpf</v>
      </c>
      <c r="C133" s="22">
        <f>INDEX(MeritBonus!$L$9:$L$500,MATCH('Performance Summary'!A133,MeritBonus!$F$9:$F$500,0))</f>
        <v>29326</v>
      </c>
      <c r="D133" s="22" t="str">
        <f>INDEX(MeritBonus!$M$9:$M$500,MATCH('Performance Summary'!A133,MeritBonus!$F$9:$F$500,0))</f>
        <v>Maxine Mceachern</v>
      </c>
      <c r="E133" s="22" t="str">
        <f>INDEX(MeritBonus!$J$9:$J$500,MATCH('Performance Summary'!A133,MeritBonus!$F$9:$F$500,0))</f>
        <v>Midwest</v>
      </c>
      <c r="F133" s="22" t="str">
        <f>INDEX(MeritBonus!$N$9:$N$500,MATCH('Performance Summary'!A133,MeritBonus!$F$9:$F$500,0))</f>
        <v>Active</v>
      </c>
      <c r="G133" s="22" t="str">
        <f>INDEX(MeritBonus!$AG$9:$AG$500,MATCH('Performance Summary'!A133,MeritBonus!$F$9:$F$500,0))</f>
        <v>Exceeds</v>
      </c>
      <c r="H133" s="32" t="str">
        <f>INDEX(MeritBonus!$CV$9:$CV$500,MATCH('Performance Summary'!A133,MeritBonus!$F$9:$F$500,0))</f>
        <v>67890;86672</v>
      </c>
      <c r="I133" s="32" t="str">
        <f t="shared" si="15"/>
        <v>Sheryl Stumpf</v>
      </c>
      <c r="J133" s="32" t="str">
        <f t="shared" si="16"/>
        <v/>
      </c>
      <c r="K133" s="32" t="str">
        <f t="shared" si="17"/>
        <v/>
      </c>
      <c r="L133" s="32" t="str">
        <f t="shared" si="18"/>
        <v/>
      </c>
      <c r="M133" s="1"/>
      <c r="N133" s="198" t="str">
        <f t="shared" si="14"/>
        <v>Show</v>
      </c>
      <c r="O133" s="1"/>
      <c r="P133" s="1"/>
      <c r="Q133" s="1"/>
      <c r="R133" s="1"/>
      <c r="S133" s="1"/>
      <c r="T133" s="1"/>
      <c r="U133" s="1"/>
      <c r="V133" s="98"/>
      <c r="W133" s="1"/>
      <c r="X133" s="1"/>
      <c r="Y133" s="1"/>
      <c r="Z133" s="1"/>
      <c r="AA133" s="1"/>
      <c r="AB133" s="1"/>
      <c r="AC133" s="1"/>
      <c r="AD133" s="1"/>
      <c r="AE133" s="1"/>
      <c r="AF133" s="98"/>
      <c r="AG133" s="1"/>
    </row>
    <row r="134" spans="1:33">
      <c r="A134" s="5">
        <v>9293</v>
      </c>
      <c r="B134" s="22" t="str">
        <f>INDEX(MeritBonus!$G$9:$G$500,MATCH('Performance Summary'!A134,MeritBonus!$F$9:$F$500,0))</f>
        <v>Deborah Chou</v>
      </c>
      <c r="C134" s="22">
        <f>INDEX(MeritBonus!$L$9:$L$500,MATCH('Performance Summary'!A134,MeritBonus!$F$9:$F$500,0))</f>
        <v>29331</v>
      </c>
      <c r="D134" s="22" t="str">
        <f>INDEX(MeritBonus!$M$9:$M$500,MATCH('Performance Summary'!A134,MeritBonus!$F$9:$F$500,0))</f>
        <v>Jack Falkner</v>
      </c>
      <c r="E134" s="22" t="str">
        <f>INDEX(MeritBonus!$J$9:$J$500,MATCH('Performance Summary'!A134,MeritBonus!$F$9:$F$500,0))</f>
        <v>Midwest</v>
      </c>
      <c r="F134" s="22" t="str">
        <f>INDEX(MeritBonus!$N$9:$N$500,MATCH('Performance Summary'!A134,MeritBonus!$F$9:$F$500,0))</f>
        <v>Active</v>
      </c>
      <c r="G134" s="22" t="str">
        <f>INDEX(MeritBonus!$AG$9:$AG$500,MATCH('Performance Summary'!A134,MeritBonus!$F$9:$F$500,0))</f>
        <v>Meets</v>
      </c>
      <c r="H134" s="32" t="str">
        <f>INDEX(MeritBonus!$CV$9:$CV$500,MATCH('Performance Summary'!A134,MeritBonus!$F$9:$F$500,0))</f>
        <v>67890;86672</v>
      </c>
      <c r="I134" s="32" t="str">
        <f t="shared" si="15"/>
        <v/>
      </c>
      <c r="J134" s="32" t="str">
        <f t="shared" si="16"/>
        <v>Deborah Chou</v>
      </c>
      <c r="K134" s="32" t="str">
        <f t="shared" si="17"/>
        <v/>
      </c>
      <c r="L134" s="32" t="str">
        <f t="shared" si="18"/>
        <v/>
      </c>
      <c r="M134" s="1"/>
      <c r="N134" s="198" t="str">
        <f t="shared" si="14"/>
        <v>Show</v>
      </c>
      <c r="O134" s="1"/>
      <c r="P134" s="1"/>
      <c r="Q134" s="1"/>
      <c r="R134" s="1"/>
      <c r="S134" s="1"/>
      <c r="T134" s="1"/>
      <c r="U134" s="1"/>
      <c r="V134" s="98"/>
      <c r="W134" s="1"/>
      <c r="X134" s="1"/>
      <c r="Y134" s="1"/>
      <c r="Z134" s="1"/>
      <c r="AA134" s="1"/>
      <c r="AB134" s="1"/>
      <c r="AC134" s="1"/>
      <c r="AD134" s="1"/>
      <c r="AE134" s="1"/>
      <c r="AF134" s="98"/>
      <c r="AG134" s="1"/>
    </row>
    <row r="135" spans="1:33">
      <c r="A135" s="5">
        <v>9314</v>
      </c>
      <c r="B135" s="22" t="str">
        <f>INDEX(MeritBonus!$G$9:$G$500,MATCH('Performance Summary'!A135,MeritBonus!$F$9:$F$500,0))</f>
        <v>Billy Klink</v>
      </c>
      <c r="C135" s="22">
        <f>INDEX(MeritBonus!$L$9:$L$500,MATCH('Performance Summary'!A135,MeritBonus!$F$9:$F$500,0))</f>
        <v>29331</v>
      </c>
      <c r="D135" s="22" t="str">
        <f>INDEX(MeritBonus!$M$9:$M$500,MATCH('Performance Summary'!A135,MeritBonus!$F$9:$F$500,0))</f>
        <v>Jack Falkner</v>
      </c>
      <c r="E135" s="22" t="str">
        <f>INDEX(MeritBonus!$J$9:$J$500,MATCH('Performance Summary'!A135,MeritBonus!$F$9:$F$500,0))</f>
        <v>Midwest</v>
      </c>
      <c r="F135" s="22" t="str">
        <f>INDEX(MeritBonus!$N$9:$N$500,MATCH('Performance Summary'!A135,MeritBonus!$F$9:$F$500,0))</f>
        <v>Active</v>
      </c>
      <c r="G135" s="22" t="str">
        <f>INDEX(MeritBonus!$AG$9:$AG$500,MATCH('Performance Summary'!A135,MeritBonus!$F$9:$F$500,0))</f>
        <v>Below</v>
      </c>
      <c r="H135" s="32" t="str">
        <f>INDEX(MeritBonus!$CV$9:$CV$500,MATCH('Performance Summary'!A135,MeritBonus!$F$9:$F$500,0))</f>
        <v>67890;86672</v>
      </c>
      <c r="I135" s="32" t="str">
        <f t="shared" si="15"/>
        <v/>
      </c>
      <c r="J135" s="32" t="str">
        <f t="shared" si="16"/>
        <v/>
      </c>
      <c r="K135" s="32" t="str">
        <f t="shared" si="17"/>
        <v>Billy Klink</v>
      </c>
      <c r="L135" s="32" t="str">
        <f t="shared" si="18"/>
        <v/>
      </c>
      <c r="M135" s="1"/>
      <c r="N135" s="198" t="str">
        <f t="shared" si="14"/>
        <v>Show</v>
      </c>
      <c r="O135" s="1"/>
      <c r="P135" s="1"/>
      <c r="Q135" s="1"/>
      <c r="R135" s="1"/>
      <c r="S135" s="1"/>
      <c r="T135" s="1"/>
      <c r="U135" s="1"/>
      <c r="V135" s="98"/>
      <c r="W135" s="1"/>
      <c r="X135" s="1"/>
      <c r="Y135" s="1"/>
      <c r="Z135" s="1"/>
      <c r="AA135" s="1"/>
      <c r="AB135" s="1"/>
      <c r="AC135" s="1"/>
      <c r="AD135" s="1"/>
      <c r="AE135" s="1"/>
      <c r="AF135" s="98"/>
      <c r="AG135" s="1"/>
    </row>
    <row r="136" spans="1:33">
      <c r="A136" s="5">
        <v>9328</v>
      </c>
      <c r="B136" s="22" t="str">
        <f>INDEX(MeritBonus!$G$9:$G$500,MATCH('Performance Summary'!A136,MeritBonus!$F$9:$F$500,0))</f>
        <v>Luis Chung</v>
      </c>
      <c r="C136" s="22">
        <f>INDEX(MeritBonus!$L$9:$L$500,MATCH('Performance Summary'!A136,MeritBonus!$F$9:$F$500,0))</f>
        <v>29331</v>
      </c>
      <c r="D136" s="22" t="str">
        <f>INDEX(MeritBonus!$M$9:$M$500,MATCH('Performance Summary'!A136,MeritBonus!$F$9:$F$500,0))</f>
        <v>Jack Falkner</v>
      </c>
      <c r="E136" s="22" t="str">
        <f>INDEX(MeritBonus!$J$9:$J$500,MATCH('Performance Summary'!A136,MeritBonus!$F$9:$F$500,0))</f>
        <v>Midwest</v>
      </c>
      <c r="F136" s="22" t="str">
        <f>INDEX(MeritBonus!$N$9:$N$500,MATCH('Performance Summary'!A136,MeritBonus!$F$9:$F$500,0))</f>
        <v>Active</v>
      </c>
      <c r="G136" s="22" t="str">
        <f>INDEX(MeritBonus!$AG$9:$AG$500,MATCH('Performance Summary'!A136,MeritBonus!$F$9:$F$500,0))</f>
        <v>Meets</v>
      </c>
      <c r="H136" s="32" t="str">
        <f>INDEX(MeritBonus!$CV$9:$CV$500,MATCH('Performance Summary'!A136,MeritBonus!$F$9:$F$500,0))</f>
        <v>67890;86672</v>
      </c>
      <c r="I136" s="32" t="str">
        <f t="shared" si="15"/>
        <v/>
      </c>
      <c r="J136" s="32" t="str">
        <f t="shared" si="16"/>
        <v>Luis Chung</v>
      </c>
      <c r="K136" s="32" t="str">
        <f t="shared" si="17"/>
        <v/>
      </c>
      <c r="L136" s="32" t="str">
        <f t="shared" si="18"/>
        <v/>
      </c>
      <c r="M136" s="1"/>
      <c r="N136" s="198" t="str">
        <f t="shared" si="14"/>
        <v>Show</v>
      </c>
      <c r="O136" s="1"/>
      <c r="P136" s="1"/>
      <c r="Q136" s="1"/>
      <c r="R136" s="1"/>
      <c r="S136" s="1"/>
      <c r="T136" s="1"/>
      <c r="U136" s="1"/>
      <c r="V136" s="98"/>
      <c r="W136" s="1"/>
      <c r="X136" s="1"/>
      <c r="Y136" s="1"/>
      <c r="Z136" s="1"/>
      <c r="AA136" s="1"/>
      <c r="AB136" s="1"/>
      <c r="AC136" s="1"/>
      <c r="AD136" s="1"/>
      <c r="AE136" s="1"/>
      <c r="AF136" s="98"/>
      <c r="AG136" s="1"/>
    </row>
    <row r="137" spans="1:33">
      <c r="A137" s="5">
        <v>9499</v>
      </c>
      <c r="B137" s="22" t="str">
        <f>INDEX(MeritBonus!$G$9:$G$500,MATCH('Performance Summary'!A137,MeritBonus!$F$9:$F$500,0))</f>
        <v>Thomas Weigel</v>
      </c>
      <c r="C137" s="22">
        <f>INDEX(MeritBonus!$L$9:$L$500,MATCH('Performance Summary'!A137,MeritBonus!$F$9:$F$500,0))</f>
        <v>29326</v>
      </c>
      <c r="D137" s="22" t="str">
        <f>INDEX(MeritBonus!$M$9:$M$500,MATCH('Performance Summary'!A137,MeritBonus!$F$9:$F$500,0))</f>
        <v>Maxine Mceachern</v>
      </c>
      <c r="E137" s="22" t="str">
        <f>INDEX(MeritBonus!$J$9:$J$500,MATCH('Performance Summary'!A137,MeritBonus!$F$9:$F$500,0))</f>
        <v>Midwest</v>
      </c>
      <c r="F137" s="22" t="str">
        <f>INDEX(MeritBonus!$N$9:$N$500,MATCH('Performance Summary'!A137,MeritBonus!$F$9:$F$500,0))</f>
        <v>Active</v>
      </c>
      <c r="G137" s="22" t="str">
        <f>INDEX(MeritBonus!$AG$9:$AG$500,MATCH('Performance Summary'!A137,MeritBonus!$F$9:$F$500,0))</f>
        <v>Meets</v>
      </c>
      <c r="H137" s="32" t="str">
        <f>INDEX(MeritBonus!$CV$9:$CV$500,MATCH('Performance Summary'!A137,MeritBonus!$F$9:$F$500,0))</f>
        <v>67890;86672</v>
      </c>
      <c r="I137" s="32" t="str">
        <f t="shared" si="15"/>
        <v/>
      </c>
      <c r="J137" s="32" t="str">
        <f t="shared" si="16"/>
        <v>Thomas Weigel</v>
      </c>
      <c r="K137" s="32" t="str">
        <f t="shared" si="17"/>
        <v/>
      </c>
      <c r="L137" s="32" t="str">
        <f t="shared" si="18"/>
        <v/>
      </c>
      <c r="M137" s="1"/>
      <c r="N137" s="198" t="str">
        <f t="shared" si="14"/>
        <v>Show</v>
      </c>
      <c r="O137" s="1"/>
      <c r="P137" s="1"/>
      <c r="Q137" s="1"/>
      <c r="R137" s="1"/>
      <c r="S137" s="1"/>
      <c r="T137" s="1"/>
      <c r="U137" s="1"/>
      <c r="V137" s="98"/>
      <c r="W137" s="1"/>
      <c r="X137" s="1"/>
      <c r="Y137" s="1"/>
      <c r="Z137" s="1"/>
      <c r="AA137" s="1"/>
      <c r="AB137" s="1"/>
      <c r="AC137" s="1"/>
      <c r="AD137" s="1"/>
      <c r="AE137" s="1"/>
      <c r="AF137" s="98"/>
      <c r="AG137" s="1"/>
    </row>
    <row r="138" spans="1:33">
      <c r="A138" s="5">
        <v>9536</v>
      </c>
      <c r="B138" s="22" t="str">
        <f>INDEX(MeritBonus!$G$9:$G$500,MATCH('Performance Summary'!A138,MeritBonus!$F$9:$F$500,0))</f>
        <v>Travis Sherwin</v>
      </c>
      <c r="C138" s="22">
        <f>INDEX(MeritBonus!$L$9:$L$500,MATCH('Performance Summary'!A138,MeritBonus!$F$9:$F$500,0))</f>
        <v>29326</v>
      </c>
      <c r="D138" s="22" t="str">
        <f>INDEX(MeritBonus!$M$9:$M$500,MATCH('Performance Summary'!A138,MeritBonus!$F$9:$F$500,0))</f>
        <v>Maxine Mceachern</v>
      </c>
      <c r="E138" s="22" t="str">
        <f>INDEX(MeritBonus!$J$9:$J$500,MATCH('Performance Summary'!A138,MeritBonus!$F$9:$F$500,0))</f>
        <v>Midwest</v>
      </c>
      <c r="F138" s="22" t="str">
        <f>INDEX(MeritBonus!$N$9:$N$500,MATCH('Performance Summary'!A138,MeritBonus!$F$9:$F$500,0))</f>
        <v>Active</v>
      </c>
      <c r="G138" s="22" t="str">
        <f>INDEX(MeritBonus!$AG$9:$AG$500,MATCH('Performance Summary'!A138,MeritBonus!$F$9:$F$500,0))</f>
        <v>Meets</v>
      </c>
      <c r="H138" s="32" t="str">
        <f>INDEX(MeritBonus!$CV$9:$CV$500,MATCH('Performance Summary'!A138,MeritBonus!$F$9:$F$500,0))</f>
        <v>67890;86672</v>
      </c>
      <c r="I138" s="32" t="str">
        <f t="shared" si="15"/>
        <v/>
      </c>
      <c r="J138" s="32" t="str">
        <f t="shared" si="16"/>
        <v>Travis Sherwin</v>
      </c>
      <c r="K138" s="32" t="str">
        <f t="shared" si="17"/>
        <v/>
      </c>
      <c r="L138" s="32" t="str">
        <f t="shared" si="18"/>
        <v/>
      </c>
      <c r="M138" s="1"/>
      <c r="N138" s="198" t="str">
        <f t="shared" si="14"/>
        <v>Show</v>
      </c>
      <c r="O138" s="1"/>
      <c r="P138" s="1"/>
      <c r="Q138" s="1"/>
      <c r="R138" s="1"/>
      <c r="S138" s="1"/>
      <c r="T138" s="1"/>
      <c r="U138" s="1"/>
      <c r="V138" s="98"/>
      <c r="W138" s="1"/>
      <c r="X138" s="1"/>
      <c r="Y138" s="1"/>
      <c r="Z138" s="1"/>
      <c r="AA138" s="1"/>
      <c r="AB138" s="1"/>
      <c r="AC138" s="1"/>
      <c r="AD138" s="1"/>
      <c r="AE138" s="1"/>
      <c r="AF138" s="98"/>
      <c r="AG138" s="1"/>
    </row>
    <row r="139" spans="1:33">
      <c r="A139" s="5">
        <v>9553</v>
      </c>
      <c r="B139" s="22" t="str">
        <f>INDEX(MeritBonus!$G$9:$G$500,MATCH('Performance Summary'!A139,MeritBonus!$F$9:$F$500,0))</f>
        <v>Jeffery Ricketts</v>
      </c>
      <c r="C139" s="22">
        <f>INDEX(MeritBonus!$L$9:$L$500,MATCH('Performance Summary'!A139,MeritBonus!$F$9:$F$500,0))</f>
        <v>29326</v>
      </c>
      <c r="D139" s="22" t="str">
        <f>INDEX(MeritBonus!$M$9:$M$500,MATCH('Performance Summary'!A139,MeritBonus!$F$9:$F$500,0))</f>
        <v>Maxine Mceachern</v>
      </c>
      <c r="E139" s="22" t="str">
        <f>INDEX(MeritBonus!$J$9:$J$500,MATCH('Performance Summary'!A139,MeritBonus!$F$9:$F$500,0))</f>
        <v>Midwest</v>
      </c>
      <c r="F139" s="22" t="str">
        <f>INDEX(MeritBonus!$N$9:$N$500,MATCH('Performance Summary'!A139,MeritBonus!$F$9:$F$500,0))</f>
        <v>Active</v>
      </c>
      <c r="G139" s="22" t="str">
        <f>INDEX(MeritBonus!$AG$9:$AG$500,MATCH('Performance Summary'!A139,MeritBonus!$F$9:$F$500,0))</f>
        <v>Exceeds</v>
      </c>
      <c r="H139" s="32" t="str">
        <f>INDEX(MeritBonus!$CV$9:$CV$500,MATCH('Performance Summary'!A139,MeritBonus!$F$9:$F$500,0))</f>
        <v>67890;86672</v>
      </c>
      <c r="I139" s="32" t="str">
        <f t="shared" si="15"/>
        <v>Jeffery Ricketts</v>
      </c>
      <c r="J139" s="32" t="str">
        <f t="shared" si="16"/>
        <v/>
      </c>
      <c r="K139" s="32" t="str">
        <f t="shared" si="17"/>
        <v/>
      </c>
      <c r="L139" s="32" t="str">
        <f t="shared" si="18"/>
        <v/>
      </c>
      <c r="M139" s="1"/>
      <c r="N139" s="198" t="str">
        <f t="shared" si="14"/>
        <v>Show</v>
      </c>
      <c r="O139" s="1"/>
      <c r="P139" s="1"/>
      <c r="Q139" s="1"/>
      <c r="R139" s="1"/>
      <c r="S139" s="1"/>
      <c r="T139" s="1"/>
      <c r="U139" s="1"/>
      <c r="V139" s="98"/>
      <c r="W139" s="1"/>
      <c r="X139" s="1"/>
      <c r="Y139" s="1"/>
      <c r="Z139" s="1"/>
      <c r="AA139" s="1"/>
      <c r="AB139" s="1"/>
      <c r="AC139" s="1"/>
      <c r="AD139" s="1"/>
      <c r="AE139" s="1"/>
      <c r="AF139" s="98"/>
      <c r="AG139" s="1"/>
    </row>
    <row r="140" spans="1:33">
      <c r="A140" s="5">
        <v>9587</v>
      </c>
      <c r="B140" s="22" t="str">
        <f>INDEX(MeritBonus!$G$9:$G$500,MATCH('Performance Summary'!A140,MeritBonus!$F$9:$F$500,0))</f>
        <v>Christopher Gilkey</v>
      </c>
      <c r="C140" s="22">
        <f>INDEX(MeritBonus!$L$9:$L$500,MATCH('Performance Summary'!A140,MeritBonus!$F$9:$F$500,0))</f>
        <v>29326</v>
      </c>
      <c r="D140" s="22" t="str">
        <f>INDEX(MeritBonus!$M$9:$M$500,MATCH('Performance Summary'!A140,MeritBonus!$F$9:$F$500,0))</f>
        <v>Maxine Mceachern</v>
      </c>
      <c r="E140" s="22" t="str">
        <f>INDEX(MeritBonus!$J$9:$J$500,MATCH('Performance Summary'!A140,MeritBonus!$F$9:$F$500,0))</f>
        <v>Midwest</v>
      </c>
      <c r="F140" s="22" t="str">
        <f>INDEX(MeritBonus!$N$9:$N$500,MATCH('Performance Summary'!A140,MeritBonus!$F$9:$F$500,0))</f>
        <v>Active</v>
      </c>
      <c r="G140" s="22" t="str">
        <f>INDEX(MeritBonus!$AG$9:$AG$500,MATCH('Performance Summary'!A140,MeritBonus!$F$9:$F$500,0))</f>
        <v>Meets</v>
      </c>
      <c r="H140" s="32" t="str">
        <f>INDEX(MeritBonus!$CV$9:$CV$500,MATCH('Performance Summary'!A140,MeritBonus!$F$9:$F$500,0))</f>
        <v>67890;86672</v>
      </c>
      <c r="I140" s="32" t="str">
        <f t="shared" si="15"/>
        <v/>
      </c>
      <c r="J140" s="32" t="str">
        <f t="shared" si="16"/>
        <v>Christopher Gilkey</v>
      </c>
      <c r="K140" s="32" t="str">
        <f t="shared" si="17"/>
        <v/>
      </c>
      <c r="L140" s="32" t="str">
        <f t="shared" si="18"/>
        <v/>
      </c>
      <c r="M140" s="1"/>
      <c r="N140" s="198" t="str">
        <f t="shared" si="14"/>
        <v>Show</v>
      </c>
      <c r="O140" s="1"/>
      <c r="P140" s="1"/>
      <c r="Q140" s="1"/>
      <c r="R140" s="1"/>
      <c r="S140" s="1"/>
      <c r="T140" s="1"/>
      <c r="U140" s="1"/>
      <c r="V140" s="98"/>
      <c r="W140" s="1"/>
      <c r="X140" s="1"/>
      <c r="Y140" s="1"/>
      <c r="Z140" s="1"/>
      <c r="AA140" s="1"/>
      <c r="AB140" s="1"/>
      <c r="AC140" s="1"/>
      <c r="AD140" s="1"/>
      <c r="AE140" s="1"/>
      <c r="AF140" s="98"/>
      <c r="AG140" s="1"/>
    </row>
    <row r="141" spans="1:33">
      <c r="A141" s="5">
        <v>9730</v>
      </c>
      <c r="B141" s="22" t="str">
        <f>INDEX(MeritBonus!$G$9:$G$500,MATCH('Performance Summary'!A141,MeritBonus!$F$9:$F$500,0))</f>
        <v>Jessica Farnsworth</v>
      </c>
      <c r="C141" s="22">
        <f>INDEX(MeritBonus!$L$9:$L$500,MATCH('Performance Summary'!A141,MeritBonus!$F$9:$F$500,0))</f>
        <v>29326</v>
      </c>
      <c r="D141" s="22" t="str">
        <f>INDEX(MeritBonus!$M$9:$M$500,MATCH('Performance Summary'!A141,MeritBonus!$F$9:$F$500,0))</f>
        <v>Maxine Mceachern</v>
      </c>
      <c r="E141" s="22" t="str">
        <f>INDEX(MeritBonus!$J$9:$J$500,MATCH('Performance Summary'!A141,MeritBonus!$F$9:$F$500,0))</f>
        <v>Midwest</v>
      </c>
      <c r="F141" s="22" t="str">
        <f>INDEX(MeritBonus!$N$9:$N$500,MATCH('Performance Summary'!A141,MeritBonus!$F$9:$F$500,0))</f>
        <v>Active</v>
      </c>
      <c r="G141" s="22" t="str">
        <f>INDEX(MeritBonus!$AG$9:$AG$500,MATCH('Performance Summary'!A141,MeritBonus!$F$9:$F$500,0))</f>
        <v>Meets</v>
      </c>
      <c r="H141" s="32" t="str">
        <f>INDEX(MeritBonus!$CV$9:$CV$500,MATCH('Performance Summary'!A141,MeritBonus!$F$9:$F$500,0))</f>
        <v>67890;86672</v>
      </c>
      <c r="I141" s="32" t="str">
        <f t="shared" si="15"/>
        <v/>
      </c>
      <c r="J141" s="32" t="str">
        <f t="shared" si="16"/>
        <v>Jessica Farnsworth</v>
      </c>
      <c r="K141" s="32" t="str">
        <f t="shared" si="17"/>
        <v/>
      </c>
      <c r="L141" s="32" t="str">
        <f t="shared" si="18"/>
        <v/>
      </c>
      <c r="M141" s="1"/>
      <c r="N141" s="198" t="str">
        <f t="shared" si="14"/>
        <v>Show</v>
      </c>
      <c r="O141" s="1"/>
      <c r="P141" s="1"/>
      <c r="Q141" s="1"/>
      <c r="R141" s="1"/>
      <c r="S141" s="1"/>
      <c r="T141" s="1"/>
      <c r="U141" s="1"/>
      <c r="V141" s="98"/>
      <c r="W141" s="1"/>
      <c r="X141" s="1"/>
      <c r="Y141" s="1"/>
      <c r="Z141" s="1"/>
      <c r="AA141" s="1"/>
      <c r="AB141" s="1"/>
      <c r="AC141" s="1"/>
      <c r="AD141" s="1"/>
      <c r="AE141" s="1"/>
      <c r="AF141" s="98"/>
      <c r="AG141" s="1"/>
    </row>
    <row r="142" spans="1:33">
      <c r="A142" s="5">
        <v>9731</v>
      </c>
      <c r="B142" s="22" t="str">
        <f>INDEX(MeritBonus!$G$9:$G$500,MATCH('Performance Summary'!A142,MeritBonus!$F$9:$F$500,0))</f>
        <v>James Eagle</v>
      </c>
      <c r="C142" s="22">
        <f>INDEX(MeritBonus!$L$9:$L$500,MATCH('Performance Summary'!A142,MeritBonus!$F$9:$F$500,0))</f>
        <v>29326</v>
      </c>
      <c r="D142" s="22" t="str">
        <f>INDEX(MeritBonus!$M$9:$M$500,MATCH('Performance Summary'!A142,MeritBonus!$F$9:$F$500,0))</f>
        <v>Maxine Mceachern</v>
      </c>
      <c r="E142" s="22" t="str">
        <f>INDEX(MeritBonus!$J$9:$J$500,MATCH('Performance Summary'!A142,MeritBonus!$F$9:$F$500,0))</f>
        <v>Midwest</v>
      </c>
      <c r="F142" s="22" t="str">
        <f>INDEX(MeritBonus!$N$9:$N$500,MATCH('Performance Summary'!A142,MeritBonus!$F$9:$F$500,0))</f>
        <v>Active</v>
      </c>
      <c r="G142" s="22" t="str">
        <f>INDEX(MeritBonus!$AG$9:$AG$500,MATCH('Performance Summary'!A142,MeritBonus!$F$9:$F$500,0))</f>
        <v>Meets</v>
      </c>
      <c r="H142" s="32" t="str">
        <f>INDEX(MeritBonus!$CV$9:$CV$500,MATCH('Performance Summary'!A142,MeritBonus!$F$9:$F$500,0))</f>
        <v>67890;86672</v>
      </c>
      <c r="I142" s="32" t="str">
        <f t="shared" si="15"/>
        <v/>
      </c>
      <c r="J142" s="32" t="str">
        <f t="shared" si="16"/>
        <v>James Eagle</v>
      </c>
      <c r="K142" s="32" t="str">
        <f t="shared" si="17"/>
        <v/>
      </c>
      <c r="L142" s="32" t="str">
        <f t="shared" si="18"/>
        <v/>
      </c>
      <c r="M142" s="1"/>
      <c r="N142" s="198" t="str">
        <f t="shared" si="14"/>
        <v>Show</v>
      </c>
      <c r="O142" s="1"/>
      <c r="P142" s="1"/>
      <c r="Q142" s="1"/>
      <c r="R142" s="1"/>
      <c r="S142" s="1"/>
      <c r="T142" s="1"/>
      <c r="U142" s="1"/>
      <c r="V142" s="98"/>
      <c r="W142" s="1"/>
      <c r="X142" s="1"/>
      <c r="Y142" s="1"/>
      <c r="Z142" s="1"/>
      <c r="AA142" s="1"/>
      <c r="AB142" s="1"/>
      <c r="AC142" s="1"/>
      <c r="AD142" s="1"/>
      <c r="AE142" s="1"/>
      <c r="AF142" s="98"/>
      <c r="AG142" s="1"/>
    </row>
    <row r="143" spans="1:33">
      <c r="A143" s="5">
        <v>9738</v>
      </c>
      <c r="B143" s="22" t="str">
        <f>INDEX(MeritBonus!$G$9:$G$500,MATCH('Performance Summary'!A143,MeritBonus!$F$9:$F$500,0))</f>
        <v>Viola Epley</v>
      </c>
      <c r="C143" s="22">
        <f>INDEX(MeritBonus!$L$9:$L$500,MATCH('Performance Summary'!A143,MeritBonus!$F$9:$F$500,0))</f>
        <v>29326</v>
      </c>
      <c r="D143" s="22" t="str">
        <f>INDEX(MeritBonus!$M$9:$M$500,MATCH('Performance Summary'!A143,MeritBonus!$F$9:$F$500,0))</f>
        <v>Maxine Mceachern</v>
      </c>
      <c r="E143" s="22" t="str">
        <f>INDEX(MeritBonus!$J$9:$J$500,MATCH('Performance Summary'!A143,MeritBonus!$F$9:$F$500,0))</f>
        <v>Midwest</v>
      </c>
      <c r="F143" s="22" t="str">
        <f>INDEX(MeritBonus!$N$9:$N$500,MATCH('Performance Summary'!A143,MeritBonus!$F$9:$F$500,0))</f>
        <v>Active</v>
      </c>
      <c r="G143" s="22" t="str">
        <f>INDEX(MeritBonus!$AG$9:$AG$500,MATCH('Performance Summary'!A143,MeritBonus!$F$9:$F$500,0))</f>
        <v>Meets</v>
      </c>
      <c r="H143" s="32" t="str">
        <f>INDEX(MeritBonus!$CV$9:$CV$500,MATCH('Performance Summary'!A143,MeritBonus!$F$9:$F$500,0))</f>
        <v>67890;86672</v>
      </c>
      <c r="I143" s="32" t="str">
        <f t="shared" si="15"/>
        <v/>
      </c>
      <c r="J143" s="32" t="str">
        <f t="shared" si="16"/>
        <v>Viola Epley</v>
      </c>
      <c r="K143" s="32" t="str">
        <f t="shared" si="17"/>
        <v/>
      </c>
      <c r="L143" s="32" t="str">
        <f t="shared" si="18"/>
        <v/>
      </c>
      <c r="M143" s="1"/>
      <c r="N143" s="198" t="str">
        <f t="shared" si="14"/>
        <v>Show</v>
      </c>
      <c r="O143" s="1"/>
      <c r="P143" s="1"/>
      <c r="Q143" s="1"/>
      <c r="R143" s="1"/>
      <c r="S143" s="1"/>
      <c r="T143" s="1"/>
      <c r="U143" s="1"/>
      <c r="V143" s="98"/>
      <c r="W143" s="1"/>
      <c r="X143" s="1"/>
      <c r="Y143" s="1"/>
      <c r="Z143" s="1"/>
      <c r="AA143" s="1"/>
      <c r="AB143" s="1"/>
      <c r="AC143" s="1"/>
      <c r="AD143" s="1"/>
      <c r="AE143" s="1"/>
      <c r="AF143" s="98"/>
      <c r="AG143" s="1"/>
    </row>
    <row r="144" spans="1:33">
      <c r="A144" s="5">
        <v>9926</v>
      </c>
      <c r="B144" s="22" t="str">
        <f>INDEX(MeritBonus!$G$9:$G$500,MATCH('Performance Summary'!A144,MeritBonus!$F$9:$F$500,0))</f>
        <v>Arlene Dellinger</v>
      </c>
      <c r="C144" s="22">
        <f>INDEX(MeritBonus!$L$9:$L$500,MATCH('Performance Summary'!A144,MeritBonus!$F$9:$F$500,0))</f>
        <v>29326</v>
      </c>
      <c r="D144" s="22" t="str">
        <f>INDEX(MeritBonus!$M$9:$M$500,MATCH('Performance Summary'!A144,MeritBonus!$F$9:$F$500,0))</f>
        <v>Maxine Mceachern</v>
      </c>
      <c r="E144" s="22" t="str">
        <f>INDEX(MeritBonus!$J$9:$J$500,MATCH('Performance Summary'!A144,MeritBonus!$F$9:$F$500,0))</f>
        <v>Midwest</v>
      </c>
      <c r="F144" s="22" t="str">
        <f>INDEX(MeritBonus!$N$9:$N$500,MATCH('Performance Summary'!A144,MeritBonus!$F$9:$F$500,0))</f>
        <v>Active</v>
      </c>
      <c r="G144" s="22" t="str">
        <f>INDEX(MeritBonus!$AG$9:$AG$500,MATCH('Performance Summary'!A144,MeritBonus!$F$9:$F$500,0))</f>
        <v>Meets</v>
      </c>
      <c r="H144" s="32" t="str">
        <f>INDEX(MeritBonus!$CV$9:$CV$500,MATCH('Performance Summary'!A144,MeritBonus!$F$9:$F$500,0))</f>
        <v>67890;86672</v>
      </c>
      <c r="I144" s="32" t="str">
        <f t="shared" si="15"/>
        <v/>
      </c>
      <c r="J144" s="32" t="str">
        <f t="shared" si="16"/>
        <v>Arlene Dellinger</v>
      </c>
      <c r="K144" s="32" t="str">
        <f t="shared" si="17"/>
        <v/>
      </c>
      <c r="L144" s="32" t="str">
        <f t="shared" si="18"/>
        <v/>
      </c>
      <c r="M144" s="1"/>
      <c r="N144" s="198" t="str">
        <f t="shared" si="14"/>
        <v>Show</v>
      </c>
      <c r="O144" s="1"/>
      <c r="P144" s="1"/>
      <c r="Q144" s="1"/>
      <c r="R144" s="1"/>
      <c r="S144" s="1"/>
      <c r="T144" s="1"/>
      <c r="U144" s="1"/>
      <c r="V144" s="98"/>
      <c r="W144" s="1"/>
      <c r="X144" s="1"/>
      <c r="Y144" s="1"/>
      <c r="Z144" s="1"/>
      <c r="AA144" s="1"/>
      <c r="AB144" s="1"/>
      <c r="AC144" s="1"/>
      <c r="AD144" s="1"/>
      <c r="AE144" s="1"/>
      <c r="AF144" s="98"/>
      <c r="AG144" s="1"/>
    </row>
    <row r="145" spans="1:33">
      <c r="A145" s="5">
        <v>9933</v>
      </c>
      <c r="B145" s="22" t="str">
        <f>INDEX(MeritBonus!$G$9:$G$500,MATCH('Performance Summary'!A145,MeritBonus!$F$9:$F$500,0))</f>
        <v>Kristy Shin</v>
      </c>
      <c r="C145" s="22">
        <f>INDEX(MeritBonus!$L$9:$L$500,MATCH('Performance Summary'!A145,MeritBonus!$F$9:$F$500,0))</f>
        <v>29326</v>
      </c>
      <c r="D145" s="22" t="str">
        <f>INDEX(MeritBonus!$M$9:$M$500,MATCH('Performance Summary'!A145,MeritBonus!$F$9:$F$500,0))</f>
        <v>Maxine Mceachern</v>
      </c>
      <c r="E145" s="22" t="str">
        <f>INDEX(MeritBonus!$J$9:$J$500,MATCH('Performance Summary'!A145,MeritBonus!$F$9:$F$500,0))</f>
        <v>Midwest</v>
      </c>
      <c r="F145" s="22" t="str">
        <f>INDEX(MeritBonus!$N$9:$N$500,MATCH('Performance Summary'!A145,MeritBonus!$F$9:$F$500,0))</f>
        <v>Active</v>
      </c>
      <c r="G145" s="22" t="str">
        <f>INDEX(MeritBonus!$AG$9:$AG$500,MATCH('Performance Summary'!A145,MeritBonus!$F$9:$F$500,0))</f>
        <v>Meets</v>
      </c>
      <c r="H145" s="32" t="str">
        <f>INDEX(MeritBonus!$CV$9:$CV$500,MATCH('Performance Summary'!A145,MeritBonus!$F$9:$F$500,0))</f>
        <v>67890;86672</v>
      </c>
      <c r="I145" s="32" t="str">
        <f t="shared" si="15"/>
        <v/>
      </c>
      <c r="J145" s="32" t="str">
        <f t="shared" si="16"/>
        <v>Kristy Shin</v>
      </c>
      <c r="K145" s="32" t="str">
        <f t="shared" si="17"/>
        <v/>
      </c>
      <c r="L145" s="32" t="str">
        <f t="shared" si="18"/>
        <v/>
      </c>
      <c r="M145" s="1"/>
      <c r="N145" s="198" t="str">
        <f t="shared" si="14"/>
        <v>Show</v>
      </c>
      <c r="O145" s="1"/>
      <c r="P145" s="1"/>
      <c r="Q145" s="1"/>
      <c r="R145" s="1"/>
      <c r="S145" s="1"/>
      <c r="T145" s="1"/>
      <c r="U145" s="1"/>
      <c r="V145" s="98"/>
      <c r="W145" s="1"/>
      <c r="X145" s="1"/>
      <c r="Y145" s="1"/>
      <c r="Z145" s="1"/>
      <c r="AA145" s="1"/>
      <c r="AB145" s="1"/>
      <c r="AC145" s="1"/>
      <c r="AD145" s="1"/>
      <c r="AE145" s="1"/>
      <c r="AF145" s="98"/>
      <c r="AG145" s="1"/>
    </row>
    <row r="146" spans="1:33">
      <c r="A146" s="5">
        <v>9962</v>
      </c>
      <c r="B146" s="22" t="str">
        <f>INDEX(MeritBonus!$G$9:$G$500,MATCH('Performance Summary'!A146,MeritBonus!$F$9:$F$500,0))</f>
        <v>Gladys Mcclain</v>
      </c>
      <c r="C146" s="22">
        <f>INDEX(MeritBonus!$L$9:$L$500,MATCH('Performance Summary'!A146,MeritBonus!$F$9:$F$500,0))</f>
        <v>29326</v>
      </c>
      <c r="D146" s="22" t="str">
        <f>INDEX(MeritBonus!$M$9:$M$500,MATCH('Performance Summary'!A146,MeritBonus!$F$9:$F$500,0))</f>
        <v>Maxine Mceachern</v>
      </c>
      <c r="E146" s="22" t="str">
        <f>INDEX(MeritBonus!$J$9:$J$500,MATCH('Performance Summary'!A146,MeritBonus!$F$9:$F$500,0))</f>
        <v>Midwest</v>
      </c>
      <c r="F146" s="22" t="str">
        <f>INDEX(MeritBonus!$N$9:$N$500,MATCH('Performance Summary'!A146,MeritBonus!$F$9:$F$500,0))</f>
        <v>Active</v>
      </c>
      <c r="G146" s="22" t="str">
        <f>INDEX(MeritBonus!$AG$9:$AG$500,MATCH('Performance Summary'!A146,MeritBonus!$F$9:$F$500,0))</f>
        <v>Meets</v>
      </c>
      <c r="H146" s="32" t="str">
        <f>INDEX(MeritBonus!$CV$9:$CV$500,MATCH('Performance Summary'!A146,MeritBonus!$F$9:$F$500,0))</f>
        <v>67890;86672</v>
      </c>
      <c r="I146" s="32" t="str">
        <f t="shared" si="15"/>
        <v/>
      </c>
      <c r="J146" s="32" t="str">
        <f t="shared" si="16"/>
        <v>Gladys Mcclain</v>
      </c>
      <c r="K146" s="32" t="str">
        <f t="shared" si="17"/>
        <v/>
      </c>
      <c r="L146" s="32" t="str">
        <f t="shared" si="18"/>
        <v/>
      </c>
      <c r="M146" s="1"/>
      <c r="N146" s="198" t="str">
        <f t="shared" si="14"/>
        <v>Show</v>
      </c>
      <c r="O146" s="1"/>
      <c r="P146" s="1"/>
      <c r="Q146" s="1"/>
      <c r="R146" s="1"/>
      <c r="S146" s="1"/>
      <c r="T146" s="1"/>
      <c r="U146" s="1"/>
      <c r="V146" s="98"/>
      <c r="W146" s="1"/>
      <c r="X146" s="1"/>
      <c r="Y146" s="1"/>
      <c r="Z146" s="1"/>
      <c r="AA146" s="1"/>
      <c r="AB146" s="1"/>
      <c r="AC146" s="1"/>
      <c r="AD146" s="1"/>
      <c r="AE146" s="1"/>
      <c r="AF146" s="98"/>
      <c r="AG146" s="1"/>
    </row>
    <row r="147" spans="1:33">
      <c r="A147" s="5">
        <v>9989</v>
      </c>
      <c r="B147" s="22" t="str">
        <f>INDEX(MeritBonus!$G$9:$G$500,MATCH('Performance Summary'!A147,MeritBonus!$F$9:$F$500,0))</f>
        <v>Steven Echeverria</v>
      </c>
      <c r="C147" s="22">
        <f>INDEX(MeritBonus!$L$9:$L$500,MATCH('Performance Summary'!A147,MeritBonus!$F$9:$F$500,0))</f>
        <v>29326</v>
      </c>
      <c r="D147" s="22" t="str">
        <f>INDEX(MeritBonus!$M$9:$M$500,MATCH('Performance Summary'!A147,MeritBonus!$F$9:$F$500,0))</f>
        <v>Maxine Mceachern</v>
      </c>
      <c r="E147" s="22" t="str">
        <f>INDEX(MeritBonus!$J$9:$J$500,MATCH('Performance Summary'!A147,MeritBonus!$F$9:$F$500,0))</f>
        <v>Midwest</v>
      </c>
      <c r="F147" s="22" t="str">
        <f>INDEX(MeritBonus!$N$9:$N$500,MATCH('Performance Summary'!A147,MeritBonus!$F$9:$F$500,0))</f>
        <v>Active</v>
      </c>
      <c r="G147" s="22" t="str">
        <f>INDEX(MeritBonus!$AG$9:$AG$500,MATCH('Performance Summary'!A147,MeritBonus!$F$9:$F$500,0))</f>
        <v>Exceeds</v>
      </c>
      <c r="H147" s="32" t="str">
        <f>INDEX(MeritBonus!$CV$9:$CV$500,MATCH('Performance Summary'!A147,MeritBonus!$F$9:$F$500,0))</f>
        <v>67890;86672</v>
      </c>
      <c r="I147" s="32" t="str">
        <f t="shared" si="15"/>
        <v>Steven Echeverria</v>
      </c>
      <c r="J147" s="32" t="str">
        <f t="shared" si="16"/>
        <v/>
      </c>
      <c r="K147" s="32" t="str">
        <f t="shared" si="17"/>
        <v/>
      </c>
      <c r="L147" s="32" t="str">
        <f t="shared" si="18"/>
        <v/>
      </c>
      <c r="M147" s="1"/>
      <c r="N147" s="198" t="str">
        <f t="shared" si="14"/>
        <v>Show</v>
      </c>
      <c r="O147" s="1"/>
      <c r="P147" s="1"/>
      <c r="Q147" s="1"/>
      <c r="R147" s="1"/>
      <c r="S147" s="1"/>
      <c r="T147" s="1"/>
      <c r="U147" s="1"/>
      <c r="V147" s="98"/>
      <c r="W147" s="1"/>
      <c r="X147" s="1"/>
      <c r="Y147" s="1"/>
      <c r="Z147" s="1"/>
      <c r="AA147" s="1"/>
      <c r="AB147" s="1"/>
      <c r="AC147" s="1"/>
      <c r="AD147" s="1"/>
      <c r="AE147" s="1"/>
      <c r="AF147" s="98"/>
      <c r="AG147" s="1"/>
    </row>
    <row r="148" spans="1:33">
      <c r="A148" s="5">
        <v>10040</v>
      </c>
      <c r="B148" s="22" t="str">
        <f>INDEX(MeritBonus!$G$9:$G$500,MATCH('Performance Summary'!A148,MeritBonus!$F$9:$F$500,0))</f>
        <v>Jeffrey Mickle</v>
      </c>
      <c r="C148" s="22">
        <f>INDEX(MeritBonus!$L$9:$L$500,MATCH('Performance Summary'!A148,MeritBonus!$F$9:$F$500,0))</f>
        <v>11351</v>
      </c>
      <c r="D148" s="22" t="str">
        <f>INDEX(MeritBonus!$M$9:$M$500,MATCH('Performance Summary'!A148,MeritBonus!$F$9:$F$500,0))</f>
        <v>Allison Felton</v>
      </c>
      <c r="E148" s="22" t="str">
        <f>INDEX(MeritBonus!$J$9:$J$500,MATCH('Performance Summary'!A148,MeritBonus!$F$9:$F$500,0))</f>
        <v>East</v>
      </c>
      <c r="F148" s="22" t="str">
        <f>INDEX(MeritBonus!$N$9:$N$500,MATCH('Performance Summary'!A148,MeritBonus!$F$9:$F$500,0))</f>
        <v>Active</v>
      </c>
      <c r="G148" s="22" t="str">
        <f>INDEX(MeritBonus!$AG$9:$AG$500,MATCH('Performance Summary'!A148,MeritBonus!$F$9:$F$500,0))</f>
        <v>Meets</v>
      </c>
      <c r="H148" s="32" t="str">
        <f>INDEX(MeritBonus!$CV$9:$CV$500,MATCH('Performance Summary'!A148,MeritBonus!$F$9:$F$500,0))</f>
        <v>90876;99485</v>
      </c>
      <c r="I148" s="32" t="str">
        <f t="shared" si="15"/>
        <v/>
      </c>
      <c r="J148" s="32" t="str">
        <f t="shared" si="16"/>
        <v>Jeffrey Mickle</v>
      </c>
      <c r="K148" s="32" t="str">
        <f t="shared" si="17"/>
        <v/>
      </c>
      <c r="L148" s="32" t="str">
        <f t="shared" si="18"/>
        <v/>
      </c>
      <c r="M148" s="1"/>
      <c r="N148" s="198" t="str">
        <f t="shared" si="14"/>
        <v>Show</v>
      </c>
      <c r="O148" s="1"/>
      <c r="P148" s="1"/>
      <c r="Q148" s="1"/>
      <c r="R148" s="1"/>
      <c r="S148" s="1"/>
      <c r="T148" s="1"/>
      <c r="U148" s="1"/>
      <c r="V148" s="98"/>
      <c r="W148" s="1"/>
      <c r="X148" s="1"/>
      <c r="Y148" s="1"/>
      <c r="Z148" s="1"/>
      <c r="AA148" s="1"/>
      <c r="AB148" s="1"/>
      <c r="AC148" s="1"/>
      <c r="AD148" s="1"/>
      <c r="AE148" s="1"/>
      <c r="AF148" s="98"/>
      <c r="AG148" s="1"/>
    </row>
    <row r="149" spans="1:33">
      <c r="A149" s="5">
        <v>10050</v>
      </c>
      <c r="B149" s="22" t="str">
        <f>INDEX(MeritBonus!$G$9:$G$500,MATCH('Performance Summary'!A149,MeritBonus!$F$9:$F$500,0))</f>
        <v>Sheri Countryman</v>
      </c>
      <c r="C149" s="22">
        <f>INDEX(MeritBonus!$L$9:$L$500,MATCH('Performance Summary'!A149,MeritBonus!$F$9:$F$500,0))</f>
        <v>29271</v>
      </c>
      <c r="D149" s="22" t="str">
        <f>INDEX(MeritBonus!$M$9:$M$500,MATCH('Performance Summary'!A149,MeritBonus!$F$9:$F$500,0))</f>
        <v>Eugene Coe</v>
      </c>
      <c r="E149" s="22" t="str">
        <f>INDEX(MeritBonus!$J$9:$J$500,MATCH('Performance Summary'!A149,MeritBonus!$F$9:$F$500,0))</f>
        <v>West</v>
      </c>
      <c r="F149" s="22" t="str">
        <f>INDEX(MeritBonus!$N$9:$N$500,MATCH('Performance Summary'!A149,MeritBonus!$F$9:$F$500,0))</f>
        <v>Active</v>
      </c>
      <c r="G149" s="22" t="str">
        <f>INDEX(MeritBonus!$AG$9:$AG$500,MATCH('Performance Summary'!A149,MeritBonus!$F$9:$F$500,0))</f>
        <v>Meets</v>
      </c>
      <c r="H149" s="32" t="str">
        <f>INDEX(MeritBonus!$CV$9:$CV$500,MATCH('Performance Summary'!A149,MeritBonus!$F$9:$F$500,0))</f>
        <v>86672;36523</v>
      </c>
      <c r="I149" s="32" t="str">
        <f t="shared" si="15"/>
        <v/>
      </c>
      <c r="J149" s="32" t="str">
        <f t="shared" si="16"/>
        <v>Sheri Countryman</v>
      </c>
      <c r="K149" s="32" t="str">
        <f t="shared" si="17"/>
        <v/>
      </c>
      <c r="L149" s="32" t="str">
        <f t="shared" si="18"/>
        <v/>
      </c>
      <c r="M149" s="1"/>
      <c r="N149" s="198" t="str">
        <f t="shared" si="14"/>
        <v>Show</v>
      </c>
      <c r="O149" s="1"/>
      <c r="P149" s="1"/>
      <c r="Q149" s="1"/>
      <c r="R149" s="1"/>
      <c r="S149" s="1"/>
      <c r="T149" s="1"/>
      <c r="U149" s="1"/>
      <c r="V149" s="98"/>
      <c r="W149" s="1"/>
      <c r="X149" s="1"/>
      <c r="Y149" s="1"/>
      <c r="Z149" s="1"/>
      <c r="AA149" s="1"/>
      <c r="AB149" s="1"/>
      <c r="AC149" s="1"/>
      <c r="AD149" s="1"/>
      <c r="AE149" s="1"/>
      <c r="AF149" s="98"/>
      <c r="AG149" s="1"/>
    </row>
    <row r="150" spans="1:33">
      <c r="A150" s="5">
        <v>10116</v>
      </c>
      <c r="B150" s="22" t="str">
        <f>INDEX(MeritBonus!$G$9:$G$500,MATCH('Performance Summary'!A150,MeritBonus!$F$9:$F$500,0))</f>
        <v>Kristi Hollingsworth</v>
      </c>
      <c r="C150" s="22">
        <f>INDEX(MeritBonus!$L$9:$L$500,MATCH('Performance Summary'!A150,MeritBonus!$F$9:$F$500,0))</f>
        <v>29326</v>
      </c>
      <c r="D150" s="22" t="str">
        <f>INDEX(MeritBonus!$M$9:$M$500,MATCH('Performance Summary'!A150,MeritBonus!$F$9:$F$500,0))</f>
        <v>Maxine Mceachern</v>
      </c>
      <c r="E150" s="22" t="str">
        <f>INDEX(MeritBonus!$J$9:$J$500,MATCH('Performance Summary'!A150,MeritBonus!$F$9:$F$500,0))</f>
        <v>Midwest</v>
      </c>
      <c r="F150" s="22" t="str">
        <f>INDEX(MeritBonus!$N$9:$N$500,MATCH('Performance Summary'!A150,MeritBonus!$F$9:$F$500,0))</f>
        <v>Active</v>
      </c>
      <c r="G150" s="22" t="str">
        <f>INDEX(MeritBonus!$AG$9:$AG$500,MATCH('Performance Summary'!A150,MeritBonus!$F$9:$F$500,0))</f>
        <v>Exceeds</v>
      </c>
      <c r="H150" s="32" t="str">
        <f>INDEX(MeritBonus!$CV$9:$CV$500,MATCH('Performance Summary'!A150,MeritBonus!$F$9:$F$500,0))</f>
        <v>67890;86672</v>
      </c>
      <c r="I150" s="32" t="str">
        <f t="shared" si="15"/>
        <v>Kristi Hollingsworth</v>
      </c>
      <c r="J150" s="32" t="str">
        <f t="shared" si="16"/>
        <v/>
      </c>
      <c r="K150" s="32" t="str">
        <f t="shared" si="17"/>
        <v/>
      </c>
      <c r="L150" s="32" t="str">
        <f t="shared" si="18"/>
        <v/>
      </c>
      <c r="M150" s="1"/>
      <c r="N150" s="198" t="str">
        <f t="shared" si="14"/>
        <v>Show</v>
      </c>
      <c r="O150" s="1"/>
      <c r="P150" s="1"/>
      <c r="Q150" s="1"/>
      <c r="R150" s="1"/>
      <c r="S150" s="1"/>
      <c r="T150" s="1"/>
      <c r="U150" s="1"/>
      <c r="V150" s="98"/>
      <c r="W150" s="1"/>
      <c r="X150" s="1"/>
      <c r="Y150" s="1"/>
      <c r="Z150" s="1"/>
      <c r="AA150" s="1"/>
      <c r="AB150" s="1"/>
      <c r="AC150" s="1"/>
      <c r="AD150" s="1"/>
      <c r="AE150" s="1"/>
      <c r="AF150" s="98"/>
      <c r="AG150" s="1"/>
    </row>
    <row r="151" spans="1:33">
      <c r="A151" s="5">
        <v>10118</v>
      </c>
      <c r="B151" s="22" t="str">
        <f>INDEX(MeritBonus!$G$9:$G$500,MATCH('Performance Summary'!A151,MeritBonus!$F$9:$F$500,0))</f>
        <v>Verna Priddy</v>
      </c>
      <c r="C151" s="22">
        <f>INDEX(MeritBonus!$L$9:$L$500,MATCH('Performance Summary'!A151,MeritBonus!$F$9:$F$500,0))</f>
        <v>29326</v>
      </c>
      <c r="D151" s="22" t="str">
        <f>INDEX(MeritBonus!$M$9:$M$500,MATCH('Performance Summary'!A151,MeritBonus!$F$9:$F$500,0))</f>
        <v>Maxine Mceachern</v>
      </c>
      <c r="E151" s="22" t="str">
        <f>INDEX(MeritBonus!$J$9:$J$500,MATCH('Performance Summary'!A151,MeritBonus!$F$9:$F$500,0))</f>
        <v>Midwest</v>
      </c>
      <c r="F151" s="22" t="str">
        <f>INDEX(MeritBonus!$N$9:$N$500,MATCH('Performance Summary'!A151,MeritBonus!$F$9:$F$500,0))</f>
        <v>Active</v>
      </c>
      <c r="G151" s="22" t="str">
        <f>INDEX(MeritBonus!$AG$9:$AG$500,MATCH('Performance Summary'!A151,MeritBonus!$F$9:$F$500,0))</f>
        <v>Meets</v>
      </c>
      <c r="H151" s="32" t="str">
        <f>INDEX(MeritBonus!$CV$9:$CV$500,MATCH('Performance Summary'!A151,MeritBonus!$F$9:$F$500,0))</f>
        <v>67890;86672</v>
      </c>
      <c r="I151" s="32" t="str">
        <f t="shared" si="15"/>
        <v/>
      </c>
      <c r="J151" s="32" t="str">
        <f t="shared" si="16"/>
        <v>Verna Priddy</v>
      </c>
      <c r="K151" s="32" t="str">
        <f t="shared" si="17"/>
        <v/>
      </c>
      <c r="L151" s="32" t="str">
        <f t="shared" si="18"/>
        <v/>
      </c>
      <c r="M151" s="1"/>
      <c r="N151" s="198" t="str">
        <f t="shared" si="14"/>
        <v>Show</v>
      </c>
      <c r="O151" s="1"/>
      <c r="P151" s="1"/>
      <c r="Q151" s="1"/>
      <c r="R151" s="1"/>
      <c r="S151" s="1"/>
      <c r="T151" s="1"/>
      <c r="U151" s="1"/>
      <c r="V151" s="98"/>
      <c r="W151" s="1"/>
      <c r="X151" s="1"/>
      <c r="Y151" s="1"/>
      <c r="Z151" s="1"/>
      <c r="AA151" s="1"/>
      <c r="AB151" s="1"/>
      <c r="AC151" s="1"/>
      <c r="AD151" s="1"/>
      <c r="AE151" s="1"/>
      <c r="AF151" s="98"/>
      <c r="AG151" s="1"/>
    </row>
    <row r="152" spans="1:33">
      <c r="A152" s="5">
        <v>10206</v>
      </c>
      <c r="B152" s="22" t="str">
        <f>INDEX(MeritBonus!$G$9:$G$500,MATCH('Performance Summary'!A152,MeritBonus!$F$9:$F$500,0))</f>
        <v>Donald Scholl</v>
      </c>
      <c r="C152" s="22">
        <f>INDEX(MeritBonus!$L$9:$L$500,MATCH('Performance Summary'!A152,MeritBonus!$F$9:$F$500,0))</f>
        <v>20714</v>
      </c>
      <c r="D152" s="22" t="str">
        <f>INDEX(MeritBonus!$M$9:$M$500,MATCH('Performance Summary'!A152,MeritBonus!$F$9:$F$500,0))</f>
        <v>Robert Boatwright</v>
      </c>
      <c r="E152" s="22" t="str">
        <f>INDEX(MeritBonus!$J$9:$J$500,MATCH('Performance Summary'!A152,MeritBonus!$F$9:$F$500,0))</f>
        <v>South</v>
      </c>
      <c r="F152" s="22" t="str">
        <f>INDEX(MeritBonus!$N$9:$N$500,MATCH('Performance Summary'!A152,MeritBonus!$F$9:$F$500,0))</f>
        <v>Active</v>
      </c>
      <c r="G152" s="22" t="str">
        <f>INDEX(MeritBonus!$AG$9:$AG$500,MATCH('Performance Summary'!A152,MeritBonus!$F$9:$F$500,0))</f>
        <v>Below</v>
      </c>
      <c r="H152" s="32" t="str">
        <f>INDEX(MeritBonus!$CV$9:$CV$500,MATCH('Performance Summary'!A152,MeritBonus!$F$9:$F$500,0))</f>
        <v>90876;36523</v>
      </c>
      <c r="I152" s="32" t="str">
        <f t="shared" si="15"/>
        <v/>
      </c>
      <c r="J152" s="32" t="str">
        <f t="shared" si="16"/>
        <v/>
      </c>
      <c r="K152" s="32" t="str">
        <f t="shared" si="17"/>
        <v>Donald Scholl</v>
      </c>
      <c r="L152" s="32" t="str">
        <f t="shared" si="18"/>
        <v/>
      </c>
      <c r="M152" s="1"/>
      <c r="N152" s="198" t="str">
        <f t="shared" si="14"/>
        <v>Show</v>
      </c>
      <c r="O152" s="1"/>
      <c r="P152" s="1"/>
      <c r="Q152" s="1"/>
      <c r="R152" s="1"/>
      <c r="S152" s="1"/>
      <c r="T152" s="1"/>
      <c r="U152" s="1"/>
      <c r="V152" s="98"/>
      <c r="W152" s="1"/>
      <c r="X152" s="1"/>
      <c r="Y152" s="1"/>
      <c r="Z152" s="1"/>
      <c r="AA152" s="1"/>
      <c r="AB152" s="1"/>
      <c r="AC152" s="1"/>
      <c r="AD152" s="1"/>
      <c r="AE152" s="1"/>
      <c r="AF152" s="98"/>
      <c r="AG152" s="1"/>
    </row>
    <row r="153" spans="1:33">
      <c r="A153" s="5">
        <v>10233</v>
      </c>
      <c r="B153" s="22" t="str">
        <f>INDEX(MeritBonus!$G$9:$G$500,MATCH('Performance Summary'!A153,MeritBonus!$F$9:$F$500,0))</f>
        <v>James Foxworth</v>
      </c>
      <c r="C153" s="22">
        <f>INDEX(MeritBonus!$L$9:$L$500,MATCH('Performance Summary'!A153,MeritBonus!$F$9:$F$500,0))</f>
        <v>20714</v>
      </c>
      <c r="D153" s="22" t="str">
        <f>INDEX(MeritBonus!$M$9:$M$500,MATCH('Performance Summary'!A153,MeritBonus!$F$9:$F$500,0))</f>
        <v>Robert Boatwright</v>
      </c>
      <c r="E153" s="22" t="str">
        <f>INDEX(MeritBonus!$J$9:$J$500,MATCH('Performance Summary'!A153,MeritBonus!$F$9:$F$500,0))</f>
        <v>South</v>
      </c>
      <c r="F153" s="22" t="str">
        <f>INDEX(MeritBonus!$N$9:$N$500,MATCH('Performance Summary'!A153,MeritBonus!$F$9:$F$500,0))</f>
        <v>Active</v>
      </c>
      <c r="G153" s="22" t="str">
        <f>INDEX(MeritBonus!$AG$9:$AG$500,MATCH('Performance Summary'!A153,MeritBonus!$F$9:$F$500,0))</f>
        <v>Meets</v>
      </c>
      <c r="H153" s="32" t="str">
        <f>INDEX(MeritBonus!$CV$9:$CV$500,MATCH('Performance Summary'!A153,MeritBonus!$F$9:$F$500,0))</f>
        <v>90876;36523</v>
      </c>
      <c r="I153" s="32" t="str">
        <f t="shared" si="15"/>
        <v/>
      </c>
      <c r="J153" s="32" t="str">
        <f t="shared" si="16"/>
        <v>James Foxworth</v>
      </c>
      <c r="K153" s="32" t="str">
        <f t="shared" si="17"/>
        <v/>
      </c>
      <c r="L153" s="32" t="str">
        <f t="shared" si="18"/>
        <v/>
      </c>
      <c r="M153" s="1"/>
      <c r="N153" s="198" t="str">
        <f t="shared" si="14"/>
        <v>Show</v>
      </c>
      <c r="O153" s="1"/>
      <c r="P153" s="1"/>
      <c r="Q153" s="1"/>
      <c r="R153" s="1"/>
      <c r="S153" s="1"/>
      <c r="T153" s="1"/>
      <c r="U153" s="1"/>
      <c r="V153" s="98"/>
      <c r="W153" s="1"/>
      <c r="X153" s="1"/>
      <c r="Y153" s="1"/>
      <c r="Z153" s="1"/>
      <c r="AA153" s="1"/>
      <c r="AB153" s="1"/>
      <c r="AC153" s="1"/>
      <c r="AD153" s="1"/>
      <c r="AE153" s="1"/>
      <c r="AF153" s="98"/>
      <c r="AG153" s="1"/>
    </row>
    <row r="154" spans="1:33">
      <c r="A154" s="5">
        <v>10241</v>
      </c>
      <c r="B154" s="22" t="str">
        <f>INDEX(MeritBonus!$G$9:$G$500,MATCH('Performance Summary'!A154,MeritBonus!$F$9:$F$500,0))</f>
        <v>Tony Fisk</v>
      </c>
      <c r="C154" s="22">
        <f>INDEX(MeritBonus!$L$9:$L$500,MATCH('Performance Summary'!A154,MeritBonus!$F$9:$F$500,0))</f>
        <v>20714</v>
      </c>
      <c r="D154" s="22" t="str">
        <f>INDEX(MeritBonus!$M$9:$M$500,MATCH('Performance Summary'!A154,MeritBonus!$F$9:$F$500,0))</f>
        <v>Robert Boatwright</v>
      </c>
      <c r="E154" s="22" t="str">
        <f>INDEX(MeritBonus!$J$9:$J$500,MATCH('Performance Summary'!A154,MeritBonus!$F$9:$F$500,0))</f>
        <v>South</v>
      </c>
      <c r="F154" s="22" t="str">
        <f>INDEX(MeritBonus!$N$9:$N$500,MATCH('Performance Summary'!A154,MeritBonus!$F$9:$F$500,0))</f>
        <v>Active</v>
      </c>
      <c r="G154" s="22" t="str">
        <f>INDEX(MeritBonus!$AG$9:$AG$500,MATCH('Performance Summary'!A154,MeritBonus!$F$9:$F$500,0))</f>
        <v>Meets</v>
      </c>
      <c r="H154" s="32" t="str">
        <f>INDEX(MeritBonus!$CV$9:$CV$500,MATCH('Performance Summary'!A154,MeritBonus!$F$9:$F$500,0))</f>
        <v>90876;36523</v>
      </c>
      <c r="I154" s="32" t="str">
        <f t="shared" si="15"/>
        <v/>
      </c>
      <c r="J154" s="32" t="str">
        <f t="shared" si="16"/>
        <v>Tony Fisk</v>
      </c>
      <c r="K154" s="32" t="str">
        <f t="shared" si="17"/>
        <v/>
      </c>
      <c r="L154" s="32" t="str">
        <f t="shared" si="18"/>
        <v/>
      </c>
      <c r="M154" s="1"/>
      <c r="N154" s="198" t="str">
        <f t="shared" si="14"/>
        <v>Show</v>
      </c>
      <c r="O154" s="1"/>
      <c r="P154" s="1"/>
      <c r="Q154" s="1"/>
      <c r="R154" s="1"/>
      <c r="S154" s="1"/>
      <c r="T154" s="1"/>
      <c r="U154" s="1"/>
      <c r="V154" s="98"/>
      <c r="W154" s="1"/>
      <c r="X154" s="1"/>
      <c r="Y154" s="1"/>
      <c r="Z154" s="1"/>
      <c r="AA154" s="1"/>
      <c r="AB154" s="1"/>
      <c r="AC154" s="1"/>
      <c r="AD154" s="1"/>
      <c r="AE154" s="1"/>
      <c r="AF154" s="98"/>
      <c r="AG154" s="1"/>
    </row>
    <row r="155" spans="1:33">
      <c r="A155" s="5">
        <v>10267</v>
      </c>
      <c r="B155" s="22" t="str">
        <f>INDEX(MeritBonus!$G$9:$G$500,MATCH('Performance Summary'!A155,MeritBonus!$F$9:$F$500,0))</f>
        <v>Shawn Schmid</v>
      </c>
      <c r="C155" s="22">
        <f>INDEX(MeritBonus!$L$9:$L$500,MATCH('Performance Summary'!A155,MeritBonus!$F$9:$F$500,0))</f>
        <v>20714</v>
      </c>
      <c r="D155" s="22" t="str">
        <f>INDEX(MeritBonus!$M$9:$M$500,MATCH('Performance Summary'!A155,MeritBonus!$F$9:$F$500,0))</f>
        <v>Robert Boatwright</v>
      </c>
      <c r="E155" s="22" t="str">
        <f>INDEX(MeritBonus!$J$9:$J$500,MATCH('Performance Summary'!A155,MeritBonus!$F$9:$F$500,0))</f>
        <v>South</v>
      </c>
      <c r="F155" s="22" t="str">
        <f>INDEX(MeritBonus!$N$9:$N$500,MATCH('Performance Summary'!A155,MeritBonus!$F$9:$F$500,0))</f>
        <v>Active</v>
      </c>
      <c r="G155" s="22" t="str">
        <f>INDEX(MeritBonus!$AG$9:$AG$500,MATCH('Performance Summary'!A155,MeritBonus!$F$9:$F$500,0))</f>
        <v>Meets</v>
      </c>
      <c r="H155" s="32" t="str">
        <f>INDEX(MeritBonus!$CV$9:$CV$500,MATCH('Performance Summary'!A155,MeritBonus!$F$9:$F$500,0))</f>
        <v>90876;36523</v>
      </c>
      <c r="I155" s="32" t="str">
        <f t="shared" si="15"/>
        <v/>
      </c>
      <c r="J155" s="32" t="str">
        <f t="shared" si="16"/>
        <v>Shawn Schmid</v>
      </c>
      <c r="K155" s="32" t="str">
        <f t="shared" si="17"/>
        <v/>
      </c>
      <c r="L155" s="32" t="str">
        <f t="shared" si="18"/>
        <v/>
      </c>
      <c r="M155" s="1"/>
      <c r="N155" s="198" t="str">
        <f t="shared" si="14"/>
        <v>Show</v>
      </c>
      <c r="O155" s="1"/>
      <c r="P155" s="1"/>
      <c r="Q155" s="1"/>
      <c r="R155" s="1"/>
      <c r="S155" s="1"/>
      <c r="T155" s="1"/>
      <c r="U155" s="1"/>
      <c r="V155" s="98"/>
      <c r="W155" s="1"/>
      <c r="X155" s="1"/>
      <c r="Y155" s="1"/>
      <c r="Z155" s="1"/>
      <c r="AA155" s="1"/>
      <c r="AB155" s="1"/>
      <c r="AC155" s="1"/>
      <c r="AD155" s="1"/>
      <c r="AE155" s="1"/>
      <c r="AF155" s="98"/>
      <c r="AG155" s="1"/>
    </row>
    <row r="156" spans="1:33">
      <c r="A156" s="5">
        <v>10274</v>
      </c>
      <c r="B156" s="22" t="str">
        <f>INDEX(MeritBonus!$G$9:$G$500,MATCH('Performance Summary'!A156,MeritBonus!$F$9:$F$500,0))</f>
        <v>April Weiser</v>
      </c>
      <c r="C156" s="22">
        <f>INDEX(MeritBonus!$L$9:$L$500,MATCH('Performance Summary'!A156,MeritBonus!$F$9:$F$500,0))</f>
        <v>29326</v>
      </c>
      <c r="D156" s="22" t="str">
        <f>INDEX(MeritBonus!$M$9:$M$500,MATCH('Performance Summary'!A156,MeritBonus!$F$9:$F$500,0))</f>
        <v>Maxine Mceachern</v>
      </c>
      <c r="E156" s="22" t="str">
        <f>INDEX(MeritBonus!$J$9:$J$500,MATCH('Performance Summary'!A156,MeritBonus!$F$9:$F$500,0))</f>
        <v>Midwest</v>
      </c>
      <c r="F156" s="22" t="str">
        <f>INDEX(MeritBonus!$N$9:$N$500,MATCH('Performance Summary'!A156,MeritBonus!$F$9:$F$500,0))</f>
        <v>Active</v>
      </c>
      <c r="G156" s="22" t="str">
        <f>INDEX(MeritBonus!$AG$9:$AG$500,MATCH('Performance Summary'!A156,MeritBonus!$F$9:$F$500,0))</f>
        <v>Below</v>
      </c>
      <c r="H156" s="32" t="str">
        <f>INDEX(MeritBonus!$CV$9:$CV$500,MATCH('Performance Summary'!A156,MeritBonus!$F$9:$F$500,0))</f>
        <v>67890;86672</v>
      </c>
      <c r="I156" s="32" t="str">
        <f t="shared" si="15"/>
        <v/>
      </c>
      <c r="J156" s="32" t="str">
        <f t="shared" si="16"/>
        <v/>
      </c>
      <c r="K156" s="32" t="str">
        <f t="shared" si="17"/>
        <v>April Weiser</v>
      </c>
      <c r="L156" s="32" t="str">
        <f t="shared" si="18"/>
        <v/>
      </c>
      <c r="M156" s="1"/>
      <c r="N156" s="198" t="str">
        <f t="shared" si="14"/>
        <v>Show</v>
      </c>
      <c r="O156" s="1"/>
      <c r="P156" s="1"/>
      <c r="Q156" s="1"/>
      <c r="R156" s="1"/>
      <c r="S156" s="1"/>
      <c r="T156" s="1"/>
      <c r="U156" s="1"/>
      <c r="V156" s="98"/>
      <c r="W156" s="1"/>
      <c r="X156" s="1"/>
      <c r="Y156" s="1"/>
      <c r="Z156" s="1"/>
      <c r="AA156" s="1"/>
      <c r="AB156" s="1"/>
      <c r="AC156" s="1"/>
      <c r="AD156" s="1"/>
      <c r="AE156" s="1"/>
      <c r="AF156" s="98"/>
      <c r="AG156" s="1"/>
    </row>
    <row r="157" spans="1:33">
      <c r="A157" s="5">
        <v>10316</v>
      </c>
      <c r="B157" s="22" t="str">
        <f>INDEX(MeritBonus!$G$9:$G$500,MATCH('Performance Summary'!A157,MeritBonus!$F$9:$F$500,0))</f>
        <v>Mike Valdes</v>
      </c>
      <c r="C157" s="22">
        <f>INDEX(MeritBonus!$L$9:$L$500,MATCH('Performance Summary'!A157,MeritBonus!$F$9:$F$500,0))</f>
        <v>20714</v>
      </c>
      <c r="D157" s="22" t="str">
        <f>INDEX(MeritBonus!$M$9:$M$500,MATCH('Performance Summary'!A157,MeritBonus!$F$9:$F$500,0))</f>
        <v>Robert Boatwright</v>
      </c>
      <c r="E157" s="22" t="str">
        <f>INDEX(MeritBonus!$J$9:$J$500,MATCH('Performance Summary'!A157,MeritBonus!$F$9:$F$500,0))</f>
        <v>South</v>
      </c>
      <c r="F157" s="22" t="str">
        <f>INDEX(MeritBonus!$N$9:$N$500,MATCH('Performance Summary'!A157,MeritBonus!$F$9:$F$500,0))</f>
        <v>Active</v>
      </c>
      <c r="G157" s="22" t="str">
        <f>INDEX(MeritBonus!$AG$9:$AG$500,MATCH('Performance Summary'!A157,MeritBonus!$F$9:$F$500,0))</f>
        <v>Meets</v>
      </c>
      <c r="H157" s="32" t="str">
        <f>INDEX(MeritBonus!$CV$9:$CV$500,MATCH('Performance Summary'!A157,MeritBonus!$F$9:$F$500,0))</f>
        <v>90876;36523</v>
      </c>
      <c r="I157" s="32" t="str">
        <f t="shared" si="15"/>
        <v/>
      </c>
      <c r="J157" s="32" t="str">
        <f t="shared" si="16"/>
        <v>Mike Valdes</v>
      </c>
      <c r="K157" s="32" t="str">
        <f t="shared" si="17"/>
        <v/>
      </c>
      <c r="L157" s="32" t="str">
        <f t="shared" si="18"/>
        <v/>
      </c>
      <c r="M157" s="1"/>
      <c r="N157" s="198" t="str">
        <f t="shared" si="14"/>
        <v>Show</v>
      </c>
      <c r="O157" s="1"/>
      <c r="P157" s="1"/>
      <c r="Q157" s="1"/>
      <c r="R157" s="1"/>
      <c r="S157" s="1"/>
      <c r="T157" s="1"/>
      <c r="U157" s="1"/>
      <c r="V157" s="98"/>
      <c r="W157" s="1"/>
      <c r="X157" s="1"/>
      <c r="Y157" s="1"/>
      <c r="Z157" s="1"/>
      <c r="AA157" s="1"/>
      <c r="AB157" s="1"/>
      <c r="AC157" s="1"/>
      <c r="AD157" s="1"/>
      <c r="AE157" s="1"/>
      <c r="AF157" s="98"/>
      <c r="AG157" s="1"/>
    </row>
    <row r="158" spans="1:33">
      <c r="A158" s="5">
        <v>10317</v>
      </c>
      <c r="B158" s="22" t="str">
        <f>INDEX(MeritBonus!$G$9:$G$500,MATCH('Performance Summary'!A158,MeritBonus!$F$9:$F$500,0))</f>
        <v>Katie Overstreet</v>
      </c>
      <c r="C158" s="22">
        <f>INDEX(MeritBonus!$L$9:$L$500,MATCH('Performance Summary'!A158,MeritBonus!$F$9:$F$500,0))</f>
        <v>20714</v>
      </c>
      <c r="D158" s="22" t="str">
        <f>INDEX(MeritBonus!$M$9:$M$500,MATCH('Performance Summary'!A158,MeritBonus!$F$9:$F$500,0))</f>
        <v>Robert Boatwright</v>
      </c>
      <c r="E158" s="22" t="str">
        <f>INDEX(MeritBonus!$J$9:$J$500,MATCH('Performance Summary'!A158,MeritBonus!$F$9:$F$500,0))</f>
        <v>South</v>
      </c>
      <c r="F158" s="22" t="str">
        <f>INDEX(MeritBonus!$N$9:$N$500,MATCH('Performance Summary'!A158,MeritBonus!$F$9:$F$500,0))</f>
        <v>Active</v>
      </c>
      <c r="G158" s="22" t="str">
        <f>INDEX(MeritBonus!$AG$9:$AG$500,MATCH('Performance Summary'!A158,MeritBonus!$F$9:$F$500,0))</f>
        <v>Below</v>
      </c>
      <c r="H158" s="32" t="str">
        <f>INDEX(MeritBonus!$CV$9:$CV$500,MATCH('Performance Summary'!A158,MeritBonus!$F$9:$F$500,0))</f>
        <v>90876;36523</v>
      </c>
      <c r="I158" s="32" t="str">
        <f t="shared" si="15"/>
        <v/>
      </c>
      <c r="J158" s="32" t="str">
        <f t="shared" si="16"/>
        <v/>
      </c>
      <c r="K158" s="32" t="str">
        <f t="shared" si="17"/>
        <v>Katie Overstreet</v>
      </c>
      <c r="L158" s="32" t="str">
        <f t="shared" si="18"/>
        <v/>
      </c>
      <c r="M158" s="1"/>
      <c r="N158" s="198" t="str">
        <f t="shared" si="14"/>
        <v>Show</v>
      </c>
      <c r="O158" s="1"/>
      <c r="P158" s="1"/>
      <c r="Q158" s="1"/>
      <c r="R158" s="1"/>
      <c r="S158" s="1"/>
      <c r="T158" s="1"/>
      <c r="U158" s="1"/>
      <c r="V158" s="98"/>
      <c r="W158" s="1"/>
      <c r="X158" s="1"/>
      <c r="Y158" s="1"/>
      <c r="Z158" s="1"/>
      <c r="AA158" s="1"/>
      <c r="AB158" s="1"/>
      <c r="AC158" s="1"/>
      <c r="AD158" s="1"/>
      <c r="AE158" s="1"/>
      <c r="AF158" s="98"/>
      <c r="AG158" s="1"/>
    </row>
    <row r="159" spans="1:33">
      <c r="A159" s="5">
        <v>10339</v>
      </c>
      <c r="B159" s="22" t="str">
        <f>INDEX(MeritBonus!$G$9:$G$500,MATCH('Performance Summary'!A159,MeritBonus!$F$9:$F$500,0))</f>
        <v>Lawrence Judkins</v>
      </c>
      <c r="C159" s="22">
        <f>INDEX(MeritBonus!$L$9:$L$500,MATCH('Performance Summary'!A159,MeritBonus!$F$9:$F$500,0))</f>
        <v>20714</v>
      </c>
      <c r="D159" s="22" t="str">
        <f>INDEX(MeritBonus!$M$9:$M$500,MATCH('Performance Summary'!A159,MeritBonus!$F$9:$F$500,0))</f>
        <v>Robert Boatwright</v>
      </c>
      <c r="E159" s="22" t="str">
        <f>INDEX(MeritBonus!$J$9:$J$500,MATCH('Performance Summary'!A159,MeritBonus!$F$9:$F$500,0))</f>
        <v>South</v>
      </c>
      <c r="F159" s="22" t="str">
        <f>INDEX(MeritBonus!$N$9:$N$500,MATCH('Performance Summary'!A159,MeritBonus!$F$9:$F$500,0))</f>
        <v>Active</v>
      </c>
      <c r="G159" s="22" t="str">
        <f>INDEX(MeritBonus!$AG$9:$AG$500,MATCH('Performance Summary'!A159,MeritBonus!$F$9:$F$500,0))</f>
        <v>Meets</v>
      </c>
      <c r="H159" s="32" t="str">
        <f>INDEX(MeritBonus!$CV$9:$CV$500,MATCH('Performance Summary'!A159,MeritBonus!$F$9:$F$500,0))</f>
        <v>90876;36523</v>
      </c>
      <c r="I159" s="32" t="str">
        <f t="shared" si="15"/>
        <v/>
      </c>
      <c r="J159" s="32" t="str">
        <f t="shared" si="16"/>
        <v>Lawrence Judkins</v>
      </c>
      <c r="K159" s="32" t="str">
        <f t="shared" si="17"/>
        <v/>
      </c>
      <c r="L159" s="32" t="str">
        <f t="shared" si="18"/>
        <v/>
      </c>
      <c r="M159" s="1"/>
      <c r="N159" s="198" t="str">
        <f t="shared" si="14"/>
        <v>Show</v>
      </c>
      <c r="O159" s="1"/>
      <c r="P159" s="1"/>
      <c r="Q159" s="1"/>
      <c r="R159" s="1"/>
      <c r="S159" s="1"/>
      <c r="T159" s="1"/>
      <c r="U159" s="1"/>
      <c r="V159" s="98"/>
      <c r="W159" s="1"/>
      <c r="X159" s="1"/>
      <c r="Y159" s="1"/>
      <c r="Z159" s="1"/>
      <c r="AA159" s="1"/>
      <c r="AB159" s="1"/>
      <c r="AC159" s="1"/>
      <c r="AD159" s="1"/>
      <c r="AE159" s="1"/>
      <c r="AF159" s="98"/>
      <c r="AG159" s="1"/>
    </row>
    <row r="160" spans="1:33">
      <c r="A160" s="5">
        <v>10352</v>
      </c>
      <c r="B160" s="22" t="str">
        <f>INDEX(MeritBonus!$G$9:$G$500,MATCH('Performance Summary'!A160,MeritBonus!$F$9:$F$500,0))</f>
        <v>Donald Bachman</v>
      </c>
      <c r="C160" s="22">
        <f>INDEX(MeritBonus!$L$9:$L$500,MATCH('Performance Summary'!A160,MeritBonus!$F$9:$F$500,0))</f>
        <v>20714</v>
      </c>
      <c r="D160" s="22" t="str">
        <f>INDEX(MeritBonus!$M$9:$M$500,MATCH('Performance Summary'!A160,MeritBonus!$F$9:$F$500,0))</f>
        <v>Robert Boatwright</v>
      </c>
      <c r="E160" s="22" t="str">
        <f>INDEX(MeritBonus!$J$9:$J$500,MATCH('Performance Summary'!A160,MeritBonus!$F$9:$F$500,0))</f>
        <v>South</v>
      </c>
      <c r="F160" s="22" t="str">
        <f>INDEX(MeritBonus!$N$9:$N$500,MATCH('Performance Summary'!A160,MeritBonus!$F$9:$F$500,0))</f>
        <v>Active</v>
      </c>
      <c r="G160" s="22" t="str">
        <f>INDEX(MeritBonus!$AG$9:$AG$500,MATCH('Performance Summary'!A160,MeritBonus!$F$9:$F$500,0))</f>
        <v>Meets</v>
      </c>
      <c r="H160" s="32" t="str">
        <f>INDEX(MeritBonus!$CV$9:$CV$500,MATCH('Performance Summary'!A160,MeritBonus!$F$9:$F$500,0))</f>
        <v>90876;36523</v>
      </c>
      <c r="I160" s="32" t="str">
        <f t="shared" si="15"/>
        <v/>
      </c>
      <c r="J160" s="32" t="str">
        <f t="shared" si="16"/>
        <v>Donald Bachman</v>
      </c>
      <c r="K160" s="32" t="str">
        <f t="shared" si="17"/>
        <v/>
      </c>
      <c r="L160" s="32" t="str">
        <f t="shared" si="18"/>
        <v/>
      </c>
      <c r="M160" s="1"/>
      <c r="N160" s="198" t="str">
        <f t="shared" si="14"/>
        <v>Show</v>
      </c>
      <c r="O160" s="1"/>
      <c r="P160" s="1"/>
      <c r="Q160" s="1"/>
      <c r="R160" s="1"/>
      <c r="S160" s="1"/>
      <c r="T160" s="1"/>
      <c r="U160" s="1"/>
      <c r="V160" s="98"/>
      <c r="W160" s="1"/>
      <c r="X160" s="1"/>
      <c r="Y160" s="1"/>
      <c r="Z160" s="1"/>
      <c r="AA160" s="1"/>
      <c r="AB160" s="1"/>
      <c r="AC160" s="1"/>
      <c r="AD160" s="1"/>
      <c r="AE160" s="1"/>
      <c r="AF160" s="98"/>
      <c r="AG160" s="1"/>
    </row>
    <row r="161" spans="1:33">
      <c r="A161" s="5">
        <v>10390</v>
      </c>
      <c r="B161" s="22" t="str">
        <f>INDEX(MeritBonus!$G$9:$G$500,MATCH('Performance Summary'!A161,MeritBonus!$F$9:$F$500,0))</f>
        <v>Juan Sartin</v>
      </c>
      <c r="C161" s="22">
        <f>INDEX(MeritBonus!$L$9:$L$500,MATCH('Performance Summary'!A161,MeritBonus!$F$9:$F$500,0))</f>
        <v>20714</v>
      </c>
      <c r="D161" s="22" t="str">
        <f>INDEX(MeritBonus!$M$9:$M$500,MATCH('Performance Summary'!A161,MeritBonus!$F$9:$F$500,0))</f>
        <v>Robert Boatwright</v>
      </c>
      <c r="E161" s="22" t="str">
        <f>INDEX(MeritBonus!$J$9:$J$500,MATCH('Performance Summary'!A161,MeritBonus!$F$9:$F$500,0))</f>
        <v>South</v>
      </c>
      <c r="F161" s="22" t="str">
        <f>INDEX(MeritBonus!$N$9:$N$500,MATCH('Performance Summary'!A161,MeritBonus!$F$9:$F$500,0))</f>
        <v>Active</v>
      </c>
      <c r="G161" s="22" t="str">
        <f>INDEX(MeritBonus!$AG$9:$AG$500,MATCH('Performance Summary'!A161,MeritBonus!$F$9:$F$500,0))</f>
        <v>Exceeds</v>
      </c>
      <c r="H161" s="32" t="str">
        <f>INDEX(MeritBonus!$CV$9:$CV$500,MATCH('Performance Summary'!A161,MeritBonus!$F$9:$F$500,0))</f>
        <v>90876;36523</v>
      </c>
      <c r="I161" s="32" t="str">
        <f t="shared" si="15"/>
        <v>Juan Sartin</v>
      </c>
      <c r="J161" s="32" t="str">
        <f t="shared" si="16"/>
        <v/>
      </c>
      <c r="K161" s="32" t="str">
        <f t="shared" si="17"/>
        <v/>
      </c>
      <c r="L161" s="32" t="str">
        <f t="shared" si="18"/>
        <v/>
      </c>
      <c r="M161" s="1"/>
      <c r="N161" s="198" t="str">
        <f t="shared" si="14"/>
        <v>Show</v>
      </c>
      <c r="O161" s="1"/>
      <c r="P161" s="1"/>
      <c r="Q161" s="1"/>
      <c r="R161" s="1"/>
      <c r="S161" s="1"/>
      <c r="T161" s="1"/>
      <c r="U161" s="1"/>
      <c r="V161" s="98"/>
      <c r="W161" s="1"/>
      <c r="X161" s="1"/>
      <c r="Y161" s="1"/>
      <c r="Z161" s="1"/>
      <c r="AA161" s="1"/>
      <c r="AB161" s="1"/>
      <c r="AC161" s="1"/>
      <c r="AD161" s="1"/>
      <c r="AE161" s="1"/>
      <c r="AF161" s="98"/>
      <c r="AG161" s="1"/>
    </row>
    <row r="162" spans="1:33">
      <c r="A162" s="5">
        <v>10447</v>
      </c>
      <c r="B162" s="22" t="str">
        <f>INDEX(MeritBonus!$G$9:$G$500,MATCH('Performance Summary'!A162,MeritBonus!$F$9:$F$500,0))</f>
        <v>Ryan Battles</v>
      </c>
      <c r="C162" s="22">
        <f>INDEX(MeritBonus!$L$9:$L$500,MATCH('Performance Summary'!A162,MeritBonus!$F$9:$F$500,0))</f>
        <v>20714</v>
      </c>
      <c r="D162" s="22" t="str">
        <f>INDEX(MeritBonus!$M$9:$M$500,MATCH('Performance Summary'!A162,MeritBonus!$F$9:$F$500,0))</f>
        <v>Robert Boatwright</v>
      </c>
      <c r="E162" s="22" t="str">
        <f>INDEX(MeritBonus!$J$9:$J$500,MATCH('Performance Summary'!A162,MeritBonus!$F$9:$F$500,0))</f>
        <v>South</v>
      </c>
      <c r="F162" s="22" t="str">
        <f>INDEX(MeritBonus!$N$9:$N$500,MATCH('Performance Summary'!A162,MeritBonus!$F$9:$F$500,0))</f>
        <v>Active</v>
      </c>
      <c r="G162" s="22" t="str">
        <f>INDEX(MeritBonus!$AG$9:$AG$500,MATCH('Performance Summary'!A162,MeritBonus!$F$9:$F$500,0))</f>
        <v>Meets</v>
      </c>
      <c r="H162" s="32" t="str">
        <f>INDEX(MeritBonus!$CV$9:$CV$500,MATCH('Performance Summary'!A162,MeritBonus!$F$9:$F$500,0))</f>
        <v>90876;36523</v>
      </c>
      <c r="I162" s="32" t="str">
        <f t="shared" si="15"/>
        <v/>
      </c>
      <c r="J162" s="32" t="str">
        <f t="shared" si="16"/>
        <v>Ryan Battles</v>
      </c>
      <c r="K162" s="32" t="str">
        <f t="shared" si="17"/>
        <v/>
      </c>
      <c r="L162" s="32" t="str">
        <f t="shared" si="18"/>
        <v/>
      </c>
      <c r="M162" s="1"/>
      <c r="N162" s="198" t="str">
        <f t="shared" si="14"/>
        <v>Show</v>
      </c>
      <c r="O162" s="1"/>
      <c r="P162" s="1"/>
      <c r="Q162" s="1"/>
      <c r="R162" s="1"/>
      <c r="S162" s="1"/>
      <c r="T162" s="1"/>
      <c r="U162" s="1"/>
      <c r="V162" s="98"/>
      <c r="W162" s="1"/>
      <c r="X162" s="1"/>
      <c r="Y162" s="1"/>
      <c r="Z162" s="1"/>
      <c r="AA162" s="1"/>
      <c r="AB162" s="1"/>
      <c r="AC162" s="1"/>
      <c r="AD162" s="1"/>
      <c r="AE162" s="1"/>
      <c r="AF162" s="98"/>
      <c r="AG162" s="1"/>
    </row>
    <row r="163" spans="1:33">
      <c r="A163" s="5">
        <v>10751</v>
      </c>
      <c r="B163" s="22" t="str">
        <f>INDEX(MeritBonus!$G$9:$G$500,MATCH('Performance Summary'!A163,MeritBonus!$F$9:$F$500,0))</f>
        <v>Curtis Thompkins</v>
      </c>
      <c r="C163" s="22">
        <f>INDEX(MeritBonus!$L$9:$L$500,MATCH('Performance Summary'!A163,MeritBonus!$F$9:$F$500,0))</f>
        <v>20714</v>
      </c>
      <c r="D163" s="22" t="str">
        <f>INDEX(MeritBonus!$M$9:$M$500,MATCH('Performance Summary'!A163,MeritBonus!$F$9:$F$500,0))</f>
        <v>Robert Boatwright</v>
      </c>
      <c r="E163" s="22" t="str">
        <f>INDEX(MeritBonus!$J$9:$J$500,MATCH('Performance Summary'!A163,MeritBonus!$F$9:$F$500,0))</f>
        <v>South</v>
      </c>
      <c r="F163" s="22" t="str">
        <f>INDEX(MeritBonus!$N$9:$N$500,MATCH('Performance Summary'!A163,MeritBonus!$F$9:$F$500,0))</f>
        <v>Active</v>
      </c>
      <c r="G163" s="22" t="str">
        <f>INDEX(MeritBonus!$AG$9:$AG$500,MATCH('Performance Summary'!A163,MeritBonus!$F$9:$F$500,0))</f>
        <v>Meets</v>
      </c>
      <c r="H163" s="32" t="str">
        <f>INDEX(MeritBonus!$CV$9:$CV$500,MATCH('Performance Summary'!A163,MeritBonus!$F$9:$F$500,0))</f>
        <v>90876;36523</v>
      </c>
      <c r="I163" s="32" t="str">
        <f t="shared" si="15"/>
        <v/>
      </c>
      <c r="J163" s="32" t="str">
        <f t="shared" si="16"/>
        <v>Curtis Thompkins</v>
      </c>
      <c r="K163" s="32" t="str">
        <f t="shared" si="17"/>
        <v/>
      </c>
      <c r="L163" s="32" t="str">
        <f t="shared" si="18"/>
        <v/>
      </c>
      <c r="M163" s="1"/>
      <c r="N163" s="198" t="str">
        <f t="shared" si="14"/>
        <v>Show</v>
      </c>
      <c r="O163" s="1"/>
      <c r="P163" s="1"/>
      <c r="Q163" s="1"/>
      <c r="R163" s="1"/>
      <c r="S163" s="1"/>
      <c r="T163" s="1"/>
      <c r="U163" s="1"/>
      <c r="V163" s="98"/>
      <c r="W163" s="1"/>
      <c r="X163" s="1"/>
      <c r="Y163" s="1"/>
      <c r="Z163" s="1"/>
      <c r="AA163" s="1"/>
      <c r="AB163" s="1"/>
      <c r="AC163" s="1"/>
      <c r="AD163" s="1"/>
      <c r="AE163" s="1"/>
      <c r="AF163" s="98"/>
      <c r="AG163" s="1"/>
    </row>
    <row r="164" spans="1:33">
      <c r="A164" s="5">
        <v>10881</v>
      </c>
      <c r="B164" s="22" t="str">
        <f>INDEX(MeritBonus!$G$9:$G$500,MATCH('Performance Summary'!A164,MeritBonus!$F$9:$F$500,0))</f>
        <v>Shelly Blakey</v>
      </c>
      <c r="C164" s="22">
        <f>INDEX(MeritBonus!$L$9:$L$500,MATCH('Performance Summary'!A164,MeritBonus!$F$9:$F$500,0))</f>
        <v>20714</v>
      </c>
      <c r="D164" s="22" t="str">
        <f>INDEX(MeritBonus!$M$9:$M$500,MATCH('Performance Summary'!A164,MeritBonus!$F$9:$F$500,0))</f>
        <v>Robert Boatwright</v>
      </c>
      <c r="E164" s="22" t="str">
        <f>INDEX(MeritBonus!$J$9:$J$500,MATCH('Performance Summary'!A164,MeritBonus!$F$9:$F$500,0))</f>
        <v>South</v>
      </c>
      <c r="F164" s="22" t="str">
        <f>INDEX(MeritBonus!$N$9:$N$500,MATCH('Performance Summary'!A164,MeritBonus!$F$9:$F$500,0))</f>
        <v>Active</v>
      </c>
      <c r="G164" s="22" t="str">
        <f>INDEX(MeritBonus!$AG$9:$AG$500,MATCH('Performance Summary'!A164,MeritBonus!$F$9:$F$500,0))</f>
        <v>Meets</v>
      </c>
      <c r="H164" s="32" t="str">
        <f>INDEX(MeritBonus!$CV$9:$CV$500,MATCH('Performance Summary'!A164,MeritBonus!$F$9:$F$500,0))</f>
        <v>90876;36523</v>
      </c>
      <c r="I164" s="32" t="str">
        <f t="shared" si="15"/>
        <v/>
      </c>
      <c r="J164" s="32" t="str">
        <f t="shared" si="16"/>
        <v>Shelly Blakey</v>
      </c>
      <c r="K164" s="32" t="str">
        <f t="shared" si="17"/>
        <v/>
      </c>
      <c r="L164" s="32" t="str">
        <f t="shared" si="18"/>
        <v/>
      </c>
      <c r="M164" s="1"/>
      <c r="N164" s="198" t="str">
        <f t="shared" si="14"/>
        <v>Show</v>
      </c>
      <c r="O164" s="1"/>
      <c r="P164" s="1"/>
      <c r="Q164" s="1"/>
      <c r="R164" s="1"/>
      <c r="S164" s="1"/>
      <c r="T164" s="1"/>
      <c r="U164" s="1"/>
      <c r="V164" s="98"/>
      <c r="W164" s="1"/>
      <c r="X164" s="1"/>
      <c r="Y164" s="1"/>
      <c r="Z164" s="1"/>
      <c r="AA164" s="1"/>
      <c r="AB164" s="1"/>
      <c r="AC164" s="1"/>
      <c r="AD164" s="1"/>
      <c r="AE164" s="1"/>
      <c r="AF164" s="98"/>
      <c r="AG164" s="1"/>
    </row>
    <row r="165" spans="1:33">
      <c r="A165" s="5">
        <v>10997</v>
      </c>
      <c r="B165" s="22" t="str">
        <f>INDEX(MeritBonus!$G$9:$G$500,MATCH('Performance Summary'!A165,MeritBonus!$F$9:$F$500,0))</f>
        <v>Chad Coney</v>
      </c>
      <c r="C165" s="22">
        <f>INDEX(MeritBonus!$L$9:$L$500,MATCH('Performance Summary'!A165,MeritBonus!$F$9:$F$500,0))</f>
        <v>20714</v>
      </c>
      <c r="D165" s="22" t="str">
        <f>INDEX(MeritBonus!$M$9:$M$500,MATCH('Performance Summary'!A165,MeritBonus!$F$9:$F$500,0))</f>
        <v>Robert Boatwright</v>
      </c>
      <c r="E165" s="22" t="str">
        <f>INDEX(MeritBonus!$J$9:$J$500,MATCH('Performance Summary'!A165,MeritBonus!$F$9:$F$500,0))</f>
        <v>South</v>
      </c>
      <c r="F165" s="22" t="str">
        <f>INDEX(MeritBonus!$N$9:$N$500,MATCH('Performance Summary'!A165,MeritBonus!$F$9:$F$500,0))</f>
        <v>Active</v>
      </c>
      <c r="G165" s="22" t="str">
        <f>INDEX(MeritBonus!$AG$9:$AG$500,MATCH('Performance Summary'!A165,MeritBonus!$F$9:$F$500,0))</f>
        <v>Meets</v>
      </c>
      <c r="H165" s="32" t="str">
        <f>INDEX(MeritBonus!$CV$9:$CV$500,MATCH('Performance Summary'!A165,MeritBonus!$F$9:$F$500,0))</f>
        <v>90876;36523</v>
      </c>
      <c r="I165" s="32" t="str">
        <f t="shared" si="15"/>
        <v/>
      </c>
      <c r="J165" s="32" t="str">
        <f t="shared" si="16"/>
        <v>Chad Coney</v>
      </c>
      <c r="K165" s="32" t="str">
        <f t="shared" si="17"/>
        <v/>
      </c>
      <c r="L165" s="32" t="str">
        <f t="shared" si="18"/>
        <v/>
      </c>
      <c r="M165" s="1"/>
      <c r="N165" s="198" t="str">
        <f t="shared" si="14"/>
        <v>Show</v>
      </c>
      <c r="O165" s="1"/>
      <c r="P165" s="1"/>
      <c r="Q165" s="1"/>
      <c r="R165" s="1"/>
      <c r="S165" s="1"/>
      <c r="T165" s="1"/>
      <c r="U165" s="1"/>
      <c r="V165" s="98"/>
      <c r="W165" s="1"/>
      <c r="X165" s="1"/>
      <c r="Y165" s="1"/>
      <c r="Z165" s="1"/>
      <c r="AA165" s="1"/>
      <c r="AB165" s="1"/>
      <c r="AC165" s="1"/>
      <c r="AD165" s="1"/>
      <c r="AE165" s="1"/>
      <c r="AF165" s="98"/>
      <c r="AG165" s="1"/>
    </row>
    <row r="166" spans="1:33">
      <c r="A166" s="5">
        <v>11076</v>
      </c>
      <c r="B166" s="22" t="str">
        <f>INDEX(MeritBonus!$G$9:$G$500,MATCH('Performance Summary'!A166,MeritBonus!$F$9:$F$500,0))</f>
        <v>Antonio Boyer</v>
      </c>
      <c r="C166" s="22">
        <f>INDEX(MeritBonus!$L$9:$L$500,MATCH('Performance Summary'!A166,MeritBonus!$F$9:$F$500,0))</f>
        <v>20714</v>
      </c>
      <c r="D166" s="22" t="str">
        <f>INDEX(MeritBonus!$M$9:$M$500,MATCH('Performance Summary'!A166,MeritBonus!$F$9:$F$500,0))</f>
        <v>Robert Boatwright</v>
      </c>
      <c r="E166" s="22" t="str">
        <f>INDEX(MeritBonus!$J$9:$J$500,MATCH('Performance Summary'!A166,MeritBonus!$F$9:$F$500,0))</f>
        <v>South</v>
      </c>
      <c r="F166" s="22" t="str">
        <f>INDEX(MeritBonus!$N$9:$N$500,MATCH('Performance Summary'!A166,MeritBonus!$F$9:$F$500,0))</f>
        <v>Active</v>
      </c>
      <c r="G166" s="22" t="str">
        <f>INDEX(MeritBonus!$AG$9:$AG$500,MATCH('Performance Summary'!A166,MeritBonus!$F$9:$F$500,0))</f>
        <v>Exceeds</v>
      </c>
      <c r="H166" s="32" t="str">
        <f>INDEX(MeritBonus!$CV$9:$CV$500,MATCH('Performance Summary'!A166,MeritBonus!$F$9:$F$500,0))</f>
        <v>90876;36523</v>
      </c>
      <c r="I166" s="32" t="str">
        <f t="shared" si="15"/>
        <v>Antonio Boyer</v>
      </c>
      <c r="J166" s="32" t="str">
        <f t="shared" si="16"/>
        <v/>
      </c>
      <c r="K166" s="32" t="str">
        <f t="shared" si="17"/>
        <v/>
      </c>
      <c r="L166" s="32" t="str">
        <f t="shared" si="18"/>
        <v/>
      </c>
      <c r="M166" s="1"/>
      <c r="N166" s="198" t="str">
        <f t="shared" si="14"/>
        <v>Show</v>
      </c>
      <c r="O166" s="1"/>
      <c r="P166" s="1"/>
      <c r="Q166" s="1"/>
      <c r="R166" s="1"/>
      <c r="S166" s="1"/>
      <c r="T166" s="1"/>
      <c r="U166" s="1"/>
      <c r="V166" s="98"/>
      <c r="W166" s="1"/>
      <c r="X166" s="1"/>
      <c r="Y166" s="1"/>
      <c r="Z166" s="1"/>
      <c r="AA166" s="1"/>
      <c r="AB166" s="1"/>
      <c r="AC166" s="1"/>
      <c r="AD166" s="1"/>
      <c r="AE166" s="1"/>
      <c r="AF166" s="98"/>
      <c r="AG166" s="1"/>
    </row>
    <row r="167" spans="1:33">
      <c r="A167" s="5">
        <v>11110</v>
      </c>
      <c r="B167" s="22" t="str">
        <f>INDEX(MeritBonus!$G$9:$G$500,MATCH('Performance Summary'!A167,MeritBonus!$F$9:$F$500,0))</f>
        <v>Melissa Rutledge</v>
      </c>
      <c r="C167" s="22">
        <f>INDEX(MeritBonus!$L$9:$L$500,MATCH('Performance Summary'!A167,MeritBonus!$F$9:$F$500,0))</f>
        <v>20714</v>
      </c>
      <c r="D167" s="22" t="str">
        <f>INDEX(MeritBonus!$M$9:$M$500,MATCH('Performance Summary'!A167,MeritBonus!$F$9:$F$500,0))</f>
        <v>Robert Boatwright</v>
      </c>
      <c r="E167" s="22" t="str">
        <f>INDEX(MeritBonus!$J$9:$J$500,MATCH('Performance Summary'!A167,MeritBonus!$F$9:$F$500,0))</f>
        <v>South</v>
      </c>
      <c r="F167" s="22" t="str">
        <f>INDEX(MeritBonus!$N$9:$N$500,MATCH('Performance Summary'!A167,MeritBonus!$F$9:$F$500,0))</f>
        <v>Active</v>
      </c>
      <c r="G167" s="22" t="str">
        <f>INDEX(MeritBonus!$AG$9:$AG$500,MATCH('Performance Summary'!A167,MeritBonus!$F$9:$F$500,0))</f>
        <v>Meets</v>
      </c>
      <c r="H167" s="32" t="str">
        <f>INDEX(MeritBonus!$CV$9:$CV$500,MATCH('Performance Summary'!A167,MeritBonus!$F$9:$F$500,0))</f>
        <v>90876;36523</v>
      </c>
      <c r="I167" s="32" t="str">
        <f t="shared" si="15"/>
        <v/>
      </c>
      <c r="J167" s="32" t="str">
        <f t="shared" si="16"/>
        <v>Melissa Rutledge</v>
      </c>
      <c r="K167" s="32" t="str">
        <f t="shared" si="17"/>
        <v/>
      </c>
      <c r="L167" s="32" t="str">
        <f t="shared" si="18"/>
        <v/>
      </c>
      <c r="M167" s="1"/>
      <c r="N167" s="198" t="str">
        <f t="shared" si="14"/>
        <v>Show</v>
      </c>
      <c r="O167" s="1"/>
      <c r="P167" s="1"/>
      <c r="Q167" s="1"/>
      <c r="R167" s="1"/>
      <c r="S167" s="1"/>
      <c r="T167" s="1"/>
      <c r="U167" s="1"/>
      <c r="V167" s="98"/>
      <c r="W167" s="1"/>
      <c r="X167" s="1"/>
      <c r="Y167" s="1"/>
      <c r="Z167" s="1"/>
      <c r="AA167" s="1"/>
      <c r="AB167" s="1"/>
      <c r="AC167" s="1"/>
      <c r="AD167" s="1"/>
      <c r="AE167" s="1"/>
      <c r="AF167" s="98"/>
      <c r="AG167" s="1"/>
    </row>
    <row r="168" spans="1:33">
      <c r="A168" s="5">
        <v>11130</v>
      </c>
      <c r="B168" s="22" t="str">
        <f>INDEX(MeritBonus!$G$9:$G$500,MATCH('Performance Summary'!A168,MeritBonus!$F$9:$F$500,0))</f>
        <v>Candace Kirksey</v>
      </c>
      <c r="C168" s="22">
        <f>INDEX(MeritBonus!$L$9:$L$500,MATCH('Performance Summary'!A168,MeritBonus!$F$9:$F$500,0))</f>
        <v>20714</v>
      </c>
      <c r="D168" s="22" t="str">
        <f>INDEX(MeritBonus!$M$9:$M$500,MATCH('Performance Summary'!A168,MeritBonus!$F$9:$F$500,0))</f>
        <v>Robert Boatwright</v>
      </c>
      <c r="E168" s="22" t="str">
        <f>INDEX(MeritBonus!$J$9:$J$500,MATCH('Performance Summary'!A168,MeritBonus!$F$9:$F$500,0))</f>
        <v>South</v>
      </c>
      <c r="F168" s="22" t="str">
        <f>INDEX(MeritBonus!$N$9:$N$500,MATCH('Performance Summary'!A168,MeritBonus!$F$9:$F$500,0))</f>
        <v>Active</v>
      </c>
      <c r="G168" s="22" t="str">
        <f>INDEX(MeritBonus!$AG$9:$AG$500,MATCH('Performance Summary'!A168,MeritBonus!$F$9:$F$500,0))</f>
        <v>Meets</v>
      </c>
      <c r="H168" s="32" t="str">
        <f>INDEX(MeritBonus!$CV$9:$CV$500,MATCH('Performance Summary'!A168,MeritBonus!$F$9:$F$500,0))</f>
        <v>90876;36523</v>
      </c>
      <c r="I168" s="32" t="str">
        <f t="shared" si="15"/>
        <v/>
      </c>
      <c r="J168" s="32" t="str">
        <f t="shared" si="16"/>
        <v>Candace Kirksey</v>
      </c>
      <c r="K168" s="32" t="str">
        <f t="shared" si="17"/>
        <v/>
      </c>
      <c r="L168" s="32" t="str">
        <f t="shared" si="18"/>
        <v/>
      </c>
      <c r="M168" s="1"/>
      <c r="N168" s="198" t="str">
        <f t="shared" si="14"/>
        <v>Show</v>
      </c>
      <c r="O168" s="1"/>
      <c r="P168" s="1"/>
      <c r="Q168" s="1"/>
      <c r="R168" s="1"/>
      <c r="S168" s="1"/>
      <c r="T168" s="1"/>
      <c r="U168" s="1"/>
      <c r="V168" s="98"/>
      <c r="W168" s="1"/>
      <c r="X168" s="1"/>
      <c r="Y168" s="1"/>
      <c r="Z168" s="1"/>
      <c r="AA168" s="1"/>
      <c r="AB168" s="1"/>
      <c r="AC168" s="1"/>
      <c r="AD168" s="1"/>
      <c r="AE168" s="1"/>
      <c r="AF168" s="98"/>
      <c r="AG168" s="1"/>
    </row>
    <row r="169" spans="1:33">
      <c r="A169" s="5">
        <v>11132</v>
      </c>
      <c r="B169" s="22" t="str">
        <f>INDEX(MeritBonus!$G$9:$G$500,MATCH('Performance Summary'!A169,MeritBonus!$F$9:$F$500,0))</f>
        <v>Joanne Kershner</v>
      </c>
      <c r="C169" s="22">
        <f>INDEX(MeritBonus!$L$9:$L$500,MATCH('Performance Summary'!A169,MeritBonus!$F$9:$F$500,0))</f>
        <v>20714</v>
      </c>
      <c r="D169" s="22" t="str">
        <f>INDEX(MeritBonus!$M$9:$M$500,MATCH('Performance Summary'!A169,MeritBonus!$F$9:$F$500,0))</f>
        <v>Robert Boatwright</v>
      </c>
      <c r="E169" s="22" t="str">
        <f>INDEX(MeritBonus!$J$9:$J$500,MATCH('Performance Summary'!A169,MeritBonus!$F$9:$F$500,0))</f>
        <v>South</v>
      </c>
      <c r="F169" s="22" t="str">
        <f>INDEX(MeritBonus!$N$9:$N$500,MATCH('Performance Summary'!A169,MeritBonus!$F$9:$F$500,0))</f>
        <v>Active</v>
      </c>
      <c r="G169" s="22" t="str">
        <f>INDEX(MeritBonus!$AG$9:$AG$500,MATCH('Performance Summary'!A169,MeritBonus!$F$9:$F$500,0))</f>
        <v>Meets</v>
      </c>
      <c r="H169" s="32" t="str">
        <f>INDEX(MeritBonus!$CV$9:$CV$500,MATCH('Performance Summary'!A169,MeritBonus!$F$9:$F$500,0))</f>
        <v>90876;36523</v>
      </c>
      <c r="I169" s="32" t="str">
        <f t="shared" si="15"/>
        <v/>
      </c>
      <c r="J169" s="32" t="str">
        <f t="shared" si="16"/>
        <v>Joanne Kershner</v>
      </c>
      <c r="K169" s="32" t="str">
        <f t="shared" si="17"/>
        <v/>
      </c>
      <c r="L169" s="32" t="str">
        <f t="shared" si="18"/>
        <v/>
      </c>
      <c r="M169" s="1"/>
      <c r="N169" s="198" t="str">
        <f t="shared" si="14"/>
        <v>Show</v>
      </c>
      <c r="O169" s="1"/>
      <c r="P169" s="1"/>
      <c r="Q169" s="1"/>
      <c r="R169" s="1"/>
      <c r="S169" s="1"/>
      <c r="T169" s="1"/>
      <c r="U169" s="1"/>
      <c r="V169" s="98"/>
      <c r="W169" s="1"/>
      <c r="X169" s="1"/>
      <c r="Y169" s="1"/>
      <c r="Z169" s="1"/>
      <c r="AA169" s="1"/>
      <c r="AB169" s="1"/>
      <c r="AC169" s="1"/>
      <c r="AD169" s="1"/>
      <c r="AE169" s="1"/>
      <c r="AF169" s="98"/>
      <c r="AG169" s="1"/>
    </row>
    <row r="170" spans="1:33">
      <c r="A170" s="5">
        <v>11168</v>
      </c>
      <c r="B170" s="22" t="str">
        <f>INDEX(MeritBonus!$G$9:$G$500,MATCH('Performance Summary'!A170,MeritBonus!$F$9:$F$500,0))</f>
        <v>Harold Shavers</v>
      </c>
      <c r="C170" s="22">
        <f>INDEX(MeritBonus!$L$9:$L$500,MATCH('Performance Summary'!A170,MeritBonus!$F$9:$F$500,0))</f>
        <v>20714</v>
      </c>
      <c r="D170" s="22" t="str">
        <f>INDEX(MeritBonus!$M$9:$M$500,MATCH('Performance Summary'!A170,MeritBonus!$F$9:$F$500,0))</f>
        <v>Robert Boatwright</v>
      </c>
      <c r="E170" s="22" t="str">
        <f>INDEX(MeritBonus!$J$9:$J$500,MATCH('Performance Summary'!A170,MeritBonus!$F$9:$F$500,0))</f>
        <v>South</v>
      </c>
      <c r="F170" s="22" t="str">
        <f>INDEX(MeritBonus!$N$9:$N$500,MATCH('Performance Summary'!A170,MeritBonus!$F$9:$F$500,0))</f>
        <v>Active</v>
      </c>
      <c r="G170" s="22" t="str">
        <f>INDEX(MeritBonus!$AG$9:$AG$500,MATCH('Performance Summary'!A170,MeritBonus!$F$9:$F$500,0))</f>
        <v>Exceeds</v>
      </c>
      <c r="H170" s="32" t="str">
        <f>INDEX(MeritBonus!$CV$9:$CV$500,MATCH('Performance Summary'!A170,MeritBonus!$F$9:$F$500,0))</f>
        <v>90876;36523</v>
      </c>
      <c r="I170" s="32" t="str">
        <f t="shared" si="15"/>
        <v>Harold Shavers</v>
      </c>
      <c r="J170" s="32" t="str">
        <f t="shared" si="16"/>
        <v/>
      </c>
      <c r="K170" s="32" t="str">
        <f t="shared" si="17"/>
        <v/>
      </c>
      <c r="L170" s="32" t="str">
        <f t="shared" si="18"/>
        <v/>
      </c>
      <c r="M170" s="1"/>
      <c r="N170" s="198" t="str">
        <f t="shared" si="14"/>
        <v>Show</v>
      </c>
      <c r="O170" s="1"/>
      <c r="P170" s="1"/>
      <c r="Q170" s="1"/>
      <c r="R170" s="1"/>
      <c r="S170" s="1"/>
      <c r="T170" s="1"/>
      <c r="U170" s="1"/>
      <c r="V170" s="98"/>
      <c r="W170" s="1"/>
      <c r="X170" s="1"/>
      <c r="Y170" s="1"/>
      <c r="Z170" s="1"/>
      <c r="AA170" s="1"/>
      <c r="AB170" s="1"/>
      <c r="AC170" s="1"/>
      <c r="AD170" s="1"/>
      <c r="AE170" s="1"/>
      <c r="AF170" s="98"/>
      <c r="AG170" s="1"/>
    </row>
    <row r="171" spans="1:33">
      <c r="A171" s="5">
        <v>11270</v>
      </c>
      <c r="B171" s="22" t="str">
        <f>INDEX(MeritBonus!$G$9:$G$500,MATCH('Performance Summary'!A171,MeritBonus!$F$9:$F$500,0))</f>
        <v>Rosalie Harrold</v>
      </c>
      <c r="C171" s="22">
        <f>INDEX(MeritBonus!$L$9:$L$500,MATCH('Performance Summary'!A171,MeritBonus!$F$9:$F$500,0))</f>
        <v>20714</v>
      </c>
      <c r="D171" s="22" t="str">
        <f>INDEX(MeritBonus!$M$9:$M$500,MATCH('Performance Summary'!A171,MeritBonus!$F$9:$F$500,0))</f>
        <v>Robert Boatwright</v>
      </c>
      <c r="E171" s="22" t="str">
        <f>INDEX(MeritBonus!$J$9:$J$500,MATCH('Performance Summary'!A171,MeritBonus!$F$9:$F$500,0))</f>
        <v>South</v>
      </c>
      <c r="F171" s="22" t="str">
        <f>INDEX(MeritBonus!$N$9:$N$500,MATCH('Performance Summary'!A171,MeritBonus!$F$9:$F$500,0))</f>
        <v>Active</v>
      </c>
      <c r="G171" s="22" t="str">
        <f>INDEX(MeritBonus!$AG$9:$AG$500,MATCH('Performance Summary'!A171,MeritBonus!$F$9:$F$500,0))</f>
        <v>Exceeds</v>
      </c>
      <c r="H171" s="32" t="str">
        <f>INDEX(MeritBonus!$CV$9:$CV$500,MATCH('Performance Summary'!A171,MeritBonus!$F$9:$F$500,0))</f>
        <v>90876;36523</v>
      </c>
      <c r="I171" s="32" t="str">
        <f t="shared" si="15"/>
        <v>Rosalie Harrold</v>
      </c>
      <c r="J171" s="32" t="str">
        <f t="shared" si="16"/>
        <v/>
      </c>
      <c r="K171" s="32" t="str">
        <f t="shared" si="17"/>
        <v/>
      </c>
      <c r="L171" s="32" t="str">
        <f t="shared" si="18"/>
        <v/>
      </c>
      <c r="M171" s="1"/>
      <c r="N171" s="198" t="str">
        <f t="shared" si="14"/>
        <v>Show</v>
      </c>
      <c r="O171" s="1"/>
      <c r="P171" s="1"/>
      <c r="Q171" s="1"/>
      <c r="R171" s="1"/>
      <c r="S171" s="1"/>
      <c r="T171" s="1"/>
      <c r="U171" s="1"/>
      <c r="V171" s="98"/>
      <c r="W171" s="1"/>
      <c r="X171" s="1"/>
      <c r="Y171" s="1"/>
      <c r="Z171" s="1"/>
      <c r="AA171" s="1"/>
      <c r="AB171" s="1"/>
      <c r="AC171" s="1"/>
      <c r="AD171" s="1"/>
      <c r="AE171" s="1"/>
      <c r="AF171" s="98"/>
      <c r="AG171" s="1"/>
    </row>
    <row r="172" spans="1:33">
      <c r="A172" s="5">
        <v>11277</v>
      </c>
      <c r="B172" s="22" t="str">
        <f>INDEX(MeritBonus!$G$9:$G$500,MATCH('Performance Summary'!A172,MeritBonus!$F$9:$F$500,0))</f>
        <v>Mamie Townley</v>
      </c>
      <c r="C172" s="22">
        <f>INDEX(MeritBonus!$L$9:$L$500,MATCH('Performance Summary'!A172,MeritBonus!$F$9:$F$500,0))</f>
        <v>11308</v>
      </c>
      <c r="D172" s="22" t="str">
        <f>INDEX(MeritBonus!$M$9:$M$500,MATCH('Performance Summary'!A172,MeritBonus!$F$9:$F$500,0))</f>
        <v>Todd Falco</v>
      </c>
      <c r="E172" s="22" t="str">
        <f>INDEX(MeritBonus!$J$9:$J$500,MATCH('Performance Summary'!A172,MeritBonus!$F$9:$F$500,0))</f>
        <v>East</v>
      </c>
      <c r="F172" s="22" t="str">
        <f>INDEX(MeritBonus!$N$9:$N$500,MATCH('Performance Summary'!A172,MeritBonus!$F$9:$F$500,0))</f>
        <v>Active</v>
      </c>
      <c r="G172" s="22" t="str">
        <f>INDEX(MeritBonus!$AG$9:$AG$500,MATCH('Performance Summary'!A172,MeritBonus!$F$9:$F$500,0))</f>
        <v>Meets</v>
      </c>
      <c r="H172" s="32" t="str">
        <f>INDEX(MeritBonus!$CV$9:$CV$500,MATCH('Performance Summary'!A172,MeritBonus!$F$9:$F$500,0))</f>
        <v>90876;36523</v>
      </c>
      <c r="I172" s="32" t="str">
        <f t="shared" si="15"/>
        <v/>
      </c>
      <c r="J172" s="32" t="str">
        <f t="shared" si="16"/>
        <v>Mamie Townley</v>
      </c>
      <c r="K172" s="32" t="str">
        <f t="shared" si="17"/>
        <v/>
      </c>
      <c r="L172" s="32" t="str">
        <f t="shared" si="18"/>
        <v/>
      </c>
      <c r="M172" s="1"/>
      <c r="N172" s="198" t="str">
        <f t="shared" si="14"/>
        <v>Show</v>
      </c>
      <c r="O172" s="1"/>
      <c r="P172" s="1"/>
      <c r="Q172" s="1"/>
      <c r="R172" s="1"/>
      <c r="S172" s="1"/>
      <c r="T172" s="1"/>
      <c r="U172" s="1"/>
      <c r="V172" s="98"/>
      <c r="W172" s="1"/>
      <c r="X172" s="1"/>
      <c r="Y172" s="1"/>
      <c r="Z172" s="1"/>
      <c r="AA172" s="1"/>
      <c r="AB172" s="1"/>
      <c r="AC172" s="1"/>
      <c r="AD172" s="1"/>
      <c r="AE172" s="1"/>
      <c r="AF172" s="98"/>
      <c r="AG172" s="1"/>
    </row>
    <row r="173" spans="1:33">
      <c r="A173" s="5">
        <v>11308</v>
      </c>
      <c r="B173" s="22" t="str">
        <f>INDEX(MeritBonus!$G$9:$G$500,MATCH('Performance Summary'!A173,MeritBonus!$F$9:$F$500,0))</f>
        <v>Todd Falco</v>
      </c>
      <c r="C173" s="22">
        <f>INDEX(MeritBonus!$L$9:$L$500,MATCH('Performance Summary'!A173,MeritBonus!$F$9:$F$500,0))</f>
        <v>4569</v>
      </c>
      <c r="D173" s="22" t="str">
        <f>INDEX(MeritBonus!$M$9:$M$500,MATCH('Performance Summary'!A173,MeritBonus!$F$9:$F$500,0))</f>
        <v>Gina Hernandez</v>
      </c>
      <c r="E173" s="22" t="str">
        <f>INDEX(MeritBonus!$J$9:$J$500,MATCH('Performance Summary'!A173,MeritBonus!$F$9:$F$500,0))</f>
        <v>East</v>
      </c>
      <c r="F173" s="22" t="str">
        <f>INDEX(MeritBonus!$N$9:$N$500,MATCH('Performance Summary'!A173,MeritBonus!$F$9:$F$500,0))</f>
        <v>Active</v>
      </c>
      <c r="G173" s="22" t="str">
        <f>INDEX(MeritBonus!$AG$9:$AG$500,MATCH('Performance Summary'!A173,MeritBonus!$F$9:$F$500,0))</f>
        <v>Exceeds</v>
      </c>
      <c r="H173" s="32" t="str">
        <f>INDEX(MeritBonus!$CV$9:$CV$500,MATCH('Performance Summary'!A173,MeritBonus!$F$9:$F$500,0))</f>
        <v>86672;36523</v>
      </c>
      <c r="I173" s="32" t="str">
        <f t="shared" si="15"/>
        <v>Todd Falco</v>
      </c>
      <c r="J173" s="32" t="str">
        <f t="shared" si="16"/>
        <v/>
      </c>
      <c r="K173" s="32" t="str">
        <f t="shared" si="17"/>
        <v/>
      </c>
      <c r="L173" s="32" t="str">
        <f t="shared" si="18"/>
        <v/>
      </c>
      <c r="M173" s="1"/>
      <c r="N173" s="198" t="str">
        <f t="shared" si="14"/>
        <v>Show</v>
      </c>
      <c r="O173" s="1"/>
      <c r="P173" s="1"/>
      <c r="Q173" s="1"/>
      <c r="R173" s="1"/>
      <c r="S173" s="1"/>
      <c r="T173" s="1"/>
      <c r="U173" s="1"/>
      <c r="V173" s="98"/>
      <c r="W173" s="1"/>
      <c r="X173" s="1"/>
      <c r="Y173" s="1"/>
      <c r="Z173" s="1"/>
      <c r="AA173" s="1"/>
      <c r="AB173" s="1"/>
      <c r="AC173" s="1"/>
      <c r="AD173" s="1"/>
      <c r="AE173" s="1"/>
      <c r="AF173" s="98"/>
      <c r="AG173" s="1"/>
    </row>
    <row r="174" spans="1:33">
      <c r="A174" s="5">
        <v>11351</v>
      </c>
      <c r="B174" s="22" t="str">
        <f>INDEX(MeritBonus!$G$9:$G$500,MATCH('Performance Summary'!A174,MeritBonus!$F$9:$F$500,0))</f>
        <v>Allison Felton</v>
      </c>
      <c r="C174" s="22">
        <f>INDEX(MeritBonus!$L$9:$L$500,MATCH('Performance Summary'!A174,MeritBonus!$F$9:$F$500,0))</f>
        <v>11308</v>
      </c>
      <c r="D174" s="22" t="str">
        <f>INDEX(MeritBonus!$M$9:$M$500,MATCH('Performance Summary'!A174,MeritBonus!$F$9:$F$500,0))</f>
        <v>Todd Falco</v>
      </c>
      <c r="E174" s="22" t="str">
        <f>INDEX(MeritBonus!$J$9:$J$500,MATCH('Performance Summary'!A174,MeritBonus!$F$9:$F$500,0))</f>
        <v>East</v>
      </c>
      <c r="F174" s="22" t="str">
        <f>INDEX(MeritBonus!$N$9:$N$500,MATCH('Performance Summary'!A174,MeritBonus!$F$9:$F$500,0))</f>
        <v>Active</v>
      </c>
      <c r="G174" s="22" t="str">
        <f>INDEX(MeritBonus!$AG$9:$AG$500,MATCH('Performance Summary'!A174,MeritBonus!$F$9:$F$500,0))</f>
        <v>Exceeds</v>
      </c>
      <c r="H174" s="32" t="str">
        <f>INDEX(MeritBonus!$CV$9:$CV$500,MATCH('Performance Summary'!A174,MeritBonus!$F$9:$F$500,0))</f>
        <v>90876;36523</v>
      </c>
      <c r="I174" s="32" t="str">
        <f t="shared" si="15"/>
        <v>Allison Felton</v>
      </c>
      <c r="J174" s="32" t="str">
        <f t="shared" si="16"/>
        <v/>
      </c>
      <c r="K174" s="32" t="str">
        <f t="shared" si="17"/>
        <v/>
      </c>
      <c r="L174" s="32" t="str">
        <f t="shared" si="18"/>
        <v/>
      </c>
      <c r="M174" s="1"/>
      <c r="N174" s="198" t="str">
        <f t="shared" si="14"/>
        <v>Show</v>
      </c>
      <c r="O174" s="1"/>
      <c r="P174" s="1"/>
      <c r="Q174" s="1"/>
      <c r="R174" s="1"/>
      <c r="S174" s="1"/>
      <c r="T174" s="1"/>
      <c r="U174" s="1"/>
      <c r="V174" s="98"/>
      <c r="W174" s="1"/>
      <c r="X174" s="1"/>
      <c r="Y174" s="1"/>
      <c r="Z174" s="1"/>
      <c r="AA174" s="1"/>
      <c r="AB174" s="1"/>
      <c r="AC174" s="1"/>
      <c r="AD174" s="1"/>
      <c r="AE174" s="1"/>
      <c r="AF174" s="98"/>
      <c r="AG174" s="1"/>
    </row>
    <row r="175" spans="1:33">
      <c r="A175" s="5">
        <v>11498</v>
      </c>
      <c r="B175" s="22" t="str">
        <f>INDEX(MeritBonus!$G$9:$G$500,MATCH('Performance Summary'!A175,MeritBonus!$F$9:$F$500,0))</f>
        <v>John Jaworski</v>
      </c>
      <c r="C175" s="22">
        <f>INDEX(MeritBonus!$L$9:$L$500,MATCH('Performance Summary'!A175,MeritBonus!$F$9:$F$500,0))</f>
        <v>20714</v>
      </c>
      <c r="D175" s="22" t="str">
        <f>INDEX(MeritBonus!$M$9:$M$500,MATCH('Performance Summary'!A175,MeritBonus!$F$9:$F$500,0))</f>
        <v>Robert Boatwright</v>
      </c>
      <c r="E175" s="22" t="str">
        <f>INDEX(MeritBonus!$J$9:$J$500,MATCH('Performance Summary'!A175,MeritBonus!$F$9:$F$500,0))</f>
        <v>South</v>
      </c>
      <c r="F175" s="22" t="str">
        <f>INDEX(MeritBonus!$N$9:$N$500,MATCH('Performance Summary'!A175,MeritBonus!$F$9:$F$500,0))</f>
        <v>Active</v>
      </c>
      <c r="G175" s="22" t="str">
        <f>INDEX(MeritBonus!$AG$9:$AG$500,MATCH('Performance Summary'!A175,MeritBonus!$F$9:$F$500,0))</f>
        <v>Meets</v>
      </c>
      <c r="H175" s="32" t="str">
        <f>INDEX(MeritBonus!$CV$9:$CV$500,MATCH('Performance Summary'!A175,MeritBonus!$F$9:$F$500,0))</f>
        <v>90876;36523</v>
      </c>
      <c r="I175" s="32" t="str">
        <f t="shared" si="15"/>
        <v/>
      </c>
      <c r="J175" s="32" t="str">
        <f t="shared" si="16"/>
        <v>John Jaworski</v>
      </c>
      <c r="K175" s="32" t="str">
        <f t="shared" si="17"/>
        <v/>
      </c>
      <c r="L175" s="32" t="str">
        <f t="shared" si="18"/>
        <v/>
      </c>
      <c r="M175" s="1"/>
      <c r="N175" s="198" t="str">
        <f t="shared" si="14"/>
        <v>Show</v>
      </c>
      <c r="O175" s="1"/>
      <c r="P175" s="1"/>
      <c r="Q175" s="1"/>
      <c r="R175" s="1"/>
      <c r="S175" s="1"/>
      <c r="T175" s="1"/>
      <c r="U175" s="1"/>
      <c r="V175" s="98"/>
      <c r="W175" s="1"/>
      <c r="X175" s="1"/>
      <c r="Y175" s="1"/>
      <c r="Z175" s="1"/>
      <c r="AA175" s="1"/>
      <c r="AB175" s="1"/>
      <c r="AC175" s="1"/>
      <c r="AD175" s="1"/>
      <c r="AE175" s="1"/>
      <c r="AF175" s="98"/>
      <c r="AG175" s="1"/>
    </row>
    <row r="176" spans="1:33">
      <c r="A176" s="5">
        <v>11987</v>
      </c>
      <c r="B176" s="22" t="str">
        <f>INDEX(MeritBonus!$G$9:$G$500,MATCH('Performance Summary'!A176,MeritBonus!$F$9:$F$500,0))</f>
        <v>Leonard Rambo</v>
      </c>
      <c r="C176" s="22">
        <f>INDEX(MeritBonus!$L$9:$L$500,MATCH('Performance Summary'!A176,MeritBonus!$F$9:$F$500,0))</f>
        <v>29342</v>
      </c>
      <c r="D176" s="22" t="str">
        <f>INDEX(MeritBonus!$M$9:$M$500,MATCH('Performance Summary'!A176,MeritBonus!$F$9:$F$500,0))</f>
        <v>Steven Van</v>
      </c>
      <c r="E176" s="22" t="str">
        <f>INDEX(MeritBonus!$J$9:$J$500,MATCH('Performance Summary'!A176,MeritBonus!$F$9:$F$500,0))</f>
        <v>Midwest</v>
      </c>
      <c r="F176" s="22" t="str">
        <f>INDEX(MeritBonus!$N$9:$N$500,MATCH('Performance Summary'!A176,MeritBonus!$F$9:$F$500,0))</f>
        <v>Active</v>
      </c>
      <c r="G176" s="22" t="str">
        <f>INDEX(MeritBonus!$AG$9:$AG$500,MATCH('Performance Summary'!A176,MeritBonus!$F$9:$F$500,0))</f>
        <v>Meets</v>
      </c>
      <c r="H176" s="32" t="str">
        <f>INDEX(MeritBonus!$CV$9:$CV$500,MATCH('Performance Summary'!A176,MeritBonus!$F$9:$F$500,0))</f>
        <v>67890;86672</v>
      </c>
      <c r="I176" s="32" t="str">
        <f t="shared" si="15"/>
        <v/>
      </c>
      <c r="J176" s="32" t="str">
        <f t="shared" si="16"/>
        <v>Leonard Rambo</v>
      </c>
      <c r="K176" s="32" t="str">
        <f t="shared" si="17"/>
        <v/>
      </c>
      <c r="L176" s="32" t="str">
        <f t="shared" si="18"/>
        <v/>
      </c>
      <c r="M176" s="1"/>
      <c r="N176" s="198" t="str">
        <f t="shared" si="14"/>
        <v>Show</v>
      </c>
      <c r="O176" s="1"/>
      <c r="P176" s="1"/>
      <c r="Q176" s="1"/>
      <c r="R176" s="1"/>
      <c r="S176" s="1"/>
      <c r="T176" s="1"/>
      <c r="U176" s="1"/>
      <c r="V176" s="98"/>
      <c r="W176" s="1"/>
      <c r="X176" s="1"/>
      <c r="Y176" s="1"/>
      <c r="Z176" s="1"/>
      <c r="AA176" s="1"/>
      <c r="AB176" s="1"/>
      <c r="AC176" s="1"/>
      <c r="AD176" s="1"/>
      <c r="AE176" s="1"/>
      <c r="AF176" s="98"/>
      <c r="AG176" s="1"/>
    </row>
    <row r="177" spans="1:33">
      <c r="A177" s="5">
        <v>16874</v>
      </c>
      <c r="B177" s="22" t="str">
        <f>INDEX(MeritBonus!$G$9:$G$500,MATCH('Performance Summary'!A177,MeritBonus!$F$9:$F$500,0))</f>
        <v>Carlos Boisvert</v>
      </c>
      <c r="C177" s="22">
        <f>INDEX(MeritBonus!$L$9:$L$500,MATCH('Performance Summary'!A177,MeritBonus!$F$9:$F$500,0))</f>
        <v>11498</v>
      </c>
      <c r="D177" s="22" t="str">
        <f>INDEX(MeritBonus!$M$9:$M$500,MATCH('Performance Summary'!A177,MeritBonus!$F$9:$F$500,0))</f>
        <v>John Jaworski</v>
      </c>
      <c r="E177" s="22" t="str">
        <f>INDEX(MeritBonus!$J$9:$J$500,MATCH('Performance Summary'!A177,MeritBonus!$F$9:$F$500,0))</f>
        <v>South</v>
      </c>
      <c r="F177" s="22" t="str">
        <f>INDEX(MeritBonus!$N$9:$N$500,MATCH('Performance Summary'!A177,MeritBonus!$F$9:$F$500,0))</f>
        <v>Active</v>
      </c>
      <c r="G177" s="22" t="str">
        <f>INDEX(MeritBonus!$AG$9:$AG$500,MATCH('Performance Summary'!A177,MeritBonus!$F$9:$F$500,0))</f>
        <v>Meets</v>
      </c>
      <c r="H177" s="32" t="str">
        <f>INDEX(MeritBonus!$CV$9:$CV$500,MATCH('Performance Summary'!A177,MeritBonus!$F$9:$F$500,0))</f>
        <v>99485;36523</v>
      </c>
      <c r="I177" s="32" t="str">
        <f t="shared" si="15"/>
        <v/>
      </c>
      <c r="J177" s="32" t="str">
        <f t="shared" si="16"/>
        <v>Carlos Boisvert</v>
      </c>
      <c r="K177" s="32" t="str">
        <f t="shared" si="17"/>
        <v/>
      </c>
      <c r="L177" s="32" t="str">
        <f t="shared" si="18"/>
        <v/>
      </c>
      <c r="M177" s="1"/>
      <c r="N177" s="198" t="str">
        <f t="shared" si="14"/>
        <v>Show</v>
      </c>
      <c r="O177" s="1"/>
      <c r="P177" s="1"/>
      <c r="Q177" s="1"/>
      <c r="R177" s="1"/>
      <c r="S177" s="1"/>
      <c r="T177" s="1"/>
      <c r="U177" s="1"/>
      <c r="V177" s="98"/>
      <c r="W177" s="1"/>
      <c r="X177" s="1"/>
      <c r="Y177" s="1"/>
      <c r="Z177" s="1"/>
      <c r="AA177" s="1"/>
      <c r="AB177" s="1"/>
      <c r="AC177" s="1"/>
      <c r="AD177" s="1"/>
      <c r="AE177" s="1"/>
      <c r="AF177" s="98"/>
      <c r="AG177" s="1"/>
    </row>
    <row r="178" spans="1:33">
      <c r="A178" s="5">
        <v>16878</v>
      </c>
      <c r="B178" s="22" t="str">
        <f>INDEX(MeritBonus!$G$9:$G$500,MATCH('Performance Summary'!A178,MeritBonus!$F$9:$F$500,0))</f>
        <v>Sharon Mireles</v>
      </c>
      <c r="C178" s="22">
        <f>INDEX(MeritBonus!$L$9:$L$500,MATCH('Performance Summary'!A178,MeritBonus!$F$9:$F$500,0))</f>
        <v>29326</v>
      </c>
      <c r="D178" s="22" t="str">
        <f>INDEX(MeritBonus!$M$9:$M$500,MATCH('Performance Summary'!A178,MeritBonus!$F$9:$F$500,0))</f>
        <v>Maxine Mceachern</v>
      </c>
      <c r="E178" s="22" t="str">
        <f>INDEX(MeritBonus!$J$9:$J$500,MATCH('Performance Summary'!A178,MeritBonus!$F$9:$F$500,0))</f>
        <v>Midwest</v>
      </c>
      <c r="F178" s="22" t="str">
        <f>INDEX(MeritBonus!$N$9:$N$500,MATCH('Performance Summary'!A178,MeritBonus!$F$9:$F$500,0))</f>
        <v>Active</v>
      </c>
      <c r="G178" s="22" t="str">
        <f>INDEX(MeritBonus!$AG$9:$AG$500,MATCH('Performance Summary'!A178,MeritBonus!$F$9:$F$500,0))</f>
        <v>Below</v>
      </c>
      <c r="H178" s="32" t="str">
        <f>INDEX(MeritBonus!$CV$9:$CV$500,MATCH('Performance Summary'!A178,MeritBonus!$F$9:$F$500,0))</f>
        <v>67890;86672</v>
      </c>
      <c r="I178" s="32" t="str">
        <f t="shared" si="15"/>
        <v/>
      </c>
      <c r="J178" s="32" t="str">
        <f t="shared" si="16"/>
        <v/>
      </c>
      <c r="K178" s="32" t="str">
        <f t="shared" si="17"/>
        <v>Sharon Mireles</v>
      </c>
      <c r="L178" s="32" t="str">
        <f t="shared" si="18"/>
        <v/>
      </c>
      <c r="M178" s="1"/>
      <c r="N178" s="198" t="str">
        <f t="shared" si="14"/>
        <v>Show</v>
      </c>
      <c r="O178" s="1"/>
      <c r="P178" s="1"/>
      <c r="Q178" s="1"/>
      <c r="R178" s="1"/>
      <c r="S178" s="1"/>
      <c r="T178" s="1"/>
      <c r="U178" s="1"/>
      <c r="V178" s="98"/>
      <c r="W178" s="1"/>
      <c r="X178" s="1"/>
      <c r="Y178" s="1"/>
      <c r="Z178" s="1"/>
      <c r="AA178" s="1"/>
      <c r="AB178" s="1"/>
      <c r="AC178" s="1"/>
      <c r="AD178" s="1"/>
      <c r="AE178" s="1"/>
      <c r="AF178" s="98"/>
      <c r="AG178" s="1"/>
    </row>
    <row r="179" spans="1:33">
      <c r="A179" s="5">
        <v>17741</v>
      </c>
      <c r="B179" s="22" t="str">
        <f>INDEX(MeritBonus!$G$9:$G$500,MATCH('Performance Summary'!A179,MeritBonus!$F$9:$F$500,0))</f>
        <v>Mike Tang</v>
      </c>
      <c r="C179" s="22">
        <f>INDEX(MeritBonus!$L$9:$L$500,MATCH('Performance Summary'!A179,MeritBonus!$F$9:$F$500,0))</f>
        <v>29331</v>
      </c>
      <c r="D179" s="22" t="str">
        <f>INDEX(MeritBonus!$M$9:$M$500,MATCH('Performance Summary'!A179,MeritBonus!$F$9:$F$500,0))</f>
        <v>Jack Falkner</v>
      </c>
      <c r="E179" s="22" t="str">
        <f>INDEX(MeritBonus!$J$9:$J$500,MATCH('Performance Summary'!A179,MeritBonus!$F$9:$F$500,0))</f>
        <v>Midwest</v>
      </c>
      <c r="F179" s="22" t="str">
        <f>INDEX(MeritBonus!$N$9:$N$500,MATCH('Performance Summary'!A179,MeritBonus!$F$9:$F$500,0))</f>
        <v>Active</v>
      </c>
      <c r="G179" s="22" t="str">
        <f>INDEX(MeritBonus!$AG$9:$AG$500,MATCH('Performance Summary'!A179,MeritBonus!$F$9:$F$500,0))</f>
        <v>Meets</v>
      </c>
      <c r="H179" s="32" t="str">
        <f>INDEX(MeritBonus!$CV$9:$CV$500,MATCH('Performance Summary'!A179,MeritBonus!$F$9:$F$500,0))</f>
        <v>67890;86672</v>
      </c>
      <c r="I179" s="32" t="str">
        <f t="shared" si="15"/>
        <v/>
      </c>
      <c r="J179" s="32" t="str">
        <f t="shared" si="16"/>
        <v>Mike Tang</v>
      </c>
      <c r="K179" s="32" t="str">
        <f t="shared" si="17"/>
        <v/>
      </c>
      <c r="L179" s="32" t="str">
        <f t="shared" si="18"/>
        <v/>
      </c>
      <c r="M179" s="1"/>
      <c r="N179" s="198" t="str">
        <f t="shared" si="14"/>
        <v>Show</v>
      </c>
      <c r="O179" s="1"/>
      <c r="P179" s="1"/>
      <c r="Q179" s="1"/>
      <c r="R179" s="1"/>
      <c r="S179" s="1"/>
      <c r="T179" s="1"/>
      <c r="U179" s="1"/>
      <c r="V179" s="98"/>
      <c r="W179" s="1"/>
      <c r="X179" s="1"/>
      <c r="Y179" s="1"/>
      <c r="Z179" s="1"/>
      <c r="AA179" s="1"/>
      <c r="AB179" s="1"/>
      <c r="AC179" s="1"/>
      <c r="AD179" s="1"/>
      <c r="AE179" s="1"/>
      <c r="AF179" s="98"/>
      <c r="AG179" s="1"/>
    </row>
    <row r="180" spans="1:33">
      <c r="A180" s="5">
        <v>18100</v>
      </c>
      <c r="B180" s="22" t="str">
        <f>INDEX(MeritBonus!$G$9:$G$500,MATCH('Performance Summary'!A180,MeritBonus!$F$9:$F$500,0))</f>
        <v>Jason Lockett</v>
      </c>
      <c r="C180" s="22">
        <f>INDEX(MeritBonus!$L$9:$L$500,MATCH('Performance Summary'!A180,MeritBonus!$F$9:$F$500,0))</f>
        <v>29326</v>
      </c>
      <c r="D180" s="22" t="str">
        <f>INDEX(MeritBonus!$M$9:$M$500,MATCH('Performance Summary'!A180,MeritBonus!$F$9:$F$500,0))</f>
        <v>Maxine Mceachern</v>
      </c>
      <c r="E180" s="22" t="str">
        <f>INDEX(MeritBonus!$J$9:$J$500,MATCH('Performance Summary'!A180,MeritBonus!$F$9:$F$500,0))</f>
        <v>Midwest</v>
      </c>
      <c r="F180" s="22" t="str">
        <f>INDEX(MeritBonus!$N$9:$N$500,MATCH('Performance Summary'!A180,MeritBonus!$F$9:$F$500,0))</f>
        <v>Active</v>
      </c>
      <c r="G180" s="22" t="str">
        <f>INDEX(MeritBonus!$AG$9:$AG$500,MATCH('Performance Summary'!A180,MeritBonus!$F$9:$F$500,0))</f>
        <v>Below</v>
      </c>
      <c r="H180" s="32" t="str">
        <f>INDEX(MeritBonus!$CV$9:$CV$500,MATCH('Performance Summary'!A180,MeritBonus!$F$9:$F$500,0))</f>
        <v>67890;86672</v>
      </c>
      <c r="I180" s="32" t="str">
        <f t="shared" si="15"/>
        <v/>
      </c>
      <c r="J180" s="32" t="str">
        <f t="shared" si="16"/>
        <v/>
      </c>
      <c r="K180" s="32" t="str">
        <f t="shared" si="17"/>
        <v>Jason Lockett</v>
      </c>
      <c r="L180" s="32" t="str">
        <f t="shared" si="18"/>
        <v/>
      </c>
      <c r="M180" s="1"/>
      <c r="N180" s="198" t="str">
        <f t="shared" si="14"/>
        <v>Show</v>
      </c>
      <c r="O180" s="1"/>
      <c r="P180" s="1"/>
      <c r="Q180" s="1"/>
      <c r="R180" s="1"/>
      <c r="S180" s="1"/>
      <c r="T180" s="1"/>
      <c r="U180" s="1"/>
      <c r="V180" s="98"/>
      <c r="W180" s="1"/>
      <c r="X180" s="1"/>
      <c r="Y180" s="1"/>
      <c r="Z180" s="1"/>
      <c r="AA180" s="1"/>
      <c r="AB180" s="1"/>
      <c r="AC180" s="1"/>
      <c r="AD180" s="1"/>
      <c r="AE180" s="1"/>
      <c r="AF180" s="98"/>
      <c r="AG180" s="1"/>
    </row>
    <row r="181" spans="1:33">
      <c r="A181" s="5">
        <v>20708</v>
      </c>
      <c r="B181" s="22" t="str">
        <f>INDEX(MeritBonus!$G$9:$G$500,MATCH('Performance Summary'!A181,MeritBonus!$F$9:$F$500,0))</f>
        <v>Lucy Devries</v>
      </c>
      <c r="C181" s="22">
        <f>INDEX(MeritBonus!$L$9:$L$500,MATCH('Performance Summary'!A181,MeritBonus!$F$9:$F$500,0))</f>
        <v>29326</v>
      </c>
      <c r="D181" s="22" t="str">
        <f>INDEX(MeritBonus!$M$9:$M$500,MATCH('Performance Summary'!A181,MeritBonus!$F$9:$F$500,0))</f>
        <v>Maxine Mceachern</v>
      </c>
      <c r="E181" s="22" t="str">
        <f>INDEX(MeritBonus!$J$9:$J$500,MATCH('Performance Summary'!A181,MeritBonus!$F$9:$F$500,0))</f>
        <v>Midwest</v>
      </c>
      <c r="F181" s="22" t="str">
        <f>INDEX(MeritBonus!$N$9:$N$500,MATCH('Performance Summary'!A181,MeritBonus!$F$9:$F$500,0))</f>
        <v>Active</v>
      </c>
      <c r="G181" s="22" t="str">
        <f>INDEX(MeritBonus!$AG$9:$AG$500,MATCH('Performance Summary'!A181,MeritBonus!$F$9:$F$500,0))</f>
        <v>Meets</v>
      </c>
      <c r="H181" s="32" t="str">
        <f>INDEX(MeritBonus!$CV$9:$CV$500,MATCH('Performance Summary'!A181,MeritBonus!$F$9:$F$500,0))</f>
        <v>67890;86672</v>
      </c>
      <c r="I181" s="32" t="str">
        <f t="shared" si="15"/>
        <v/>
      </c>
      <c r="J181" s="32" t="str">
        <f t="shared" si="16"/>
        <v>Lucy Devries</v>
      </c>
      <c r="K181" s="32" t="str">
        <f t="shared" si="17"/>
        <v/>
      </c>
      <c r="L181" s="32" t="str">
        <f t="shared" si="18"/>
        <v/>
      </c>
      <c r="M181" s="1"/>
      <c r="N181" s="198" t="str">
        <f t="shared" si="14"/>
        <v>Show</v>
      </c>
      <c r="O181" s="1"/>
      <c r="P181" s="1"/>
      <c r="Q181" s="1"/>
      <c r="R181" s="1"/>
      <c r="S181" s="1"/>
      <c r="T181" s="1"/>
      <c r="U181" s="1"/>
      <c r="V181" s="98"/>
      <c r="W181" s="1"/>
      <c r="X181" s="1"/>
      <c r="Y181" s="1"/>
      <c r="Z181" s="1"/>
      <c r="AA181" s="1"/>
      <c r="AB181" s="1"/>
      <c r="AC181" s="1"/>
      <c r="AD181" s="1"/>
      <c r="AE181" s="1"/>
      <c r="AF181" s="98"/>
      <c r="AG181" s="1"/>
    </row>
    <row r="182" spans="1:33">
      <c r="A182" s="5">
        <v>20710</v>
      </c>
      <c r="B182" s="22" t="str">
        <f>INDEX(MeritBonus!$G$9:$G$500,MATCH('Performance Summary'!A182,MeritBonus!$F$9:$F$500,0))</f>
        <v>Adam Shrum</v>
      </c>
      <c r="C182" s="22">
        <f>INDEX(MeritBonus!$L$9:$L$500,MATCH('Performance Summary'!A182,MeritBonus!$F$9:$F$500,0))</f>
        <v>29269</v>
      </c>
      <c r="D182" s="22" t="str">
        <f>INDEX(MeritBonus!$M$9:$M$500,MATCH('Performance Summary'!A182,MeritBonus!$F$9:$F$500,0))</f>
        <v>Leonard Schell</v>
      </c>
      <c r="E182" s="22" t="str">
        <f>INDEX(MeritBonus!$J$9:$J$500,MATCH('Performance Summary'!A182,MeritBonus!$F$9:$F$500,0))</f>
        <v>West</v>
      </c>
      <c r="F182" s="22" t="str">
        <f>INDEX(MeritBonus!$N$9:$N$500,MATCH('Performance Summary'!A182,MeritBonus!$F$9:$F$500,0))</f>
        <v>Active</v>
      </c>
      <c r="G182" s="22" t="str">
        <f>INDEX(MeritBonus!$AG$9:$AG$500,MATCH('Performance Summary'!A182,MeritBonus!$F$9:$F$500,0))</f>
        <v>Meets</v>
      </c>
      <c r="H182" s="32" t="str">
        <f>INDEX(MeritBonus!$CV$9:$CV$500,MATCH('Performance Summary'!A182,MeritBonus!$F$9:$F$500,0))</f>
        <v>67890;86672</v>
      </c>
      <c r="I182" s="32" t="str">
        <f t="shared" si="15"/>
        <v/>
      </c>
      <c r="J182" s="32" t="str">
        <f t="shared" si="16"/>
        <v>Adam Shrum</v>
      </c>
      <c r="K182" s="32" t="str">
        <f t="shared" si="17"/>
        <v/>
      </c>
      <c r="L182" s="32" t="str">
        <f t="shared" si="18"/>
        <v/>
      </c>
      <c r="M182" s="1"/>
      <c r="N182" s="198" t="str">
        <f t="shared" si="14"/>
        <v>Show</v>
      </c>
      <c r="O182" s="1"/>
      <c r="P182" s="1"/>
      <c r="Q182" s="1"/>
      <c r="R182" s="1"/>
      <c r="S182" s="1"/>
      <c r="T182" s="1"/>
      <c r="U182" s="1"/>
      <c r="V182" s="98"/>
      <c r="W182" s="1"/>
      <c r="X182" s="1"/>
      <c r="Y182" s="1"/>
      <c r="Z182" s="1"/>
      <c r="AA182" s="1"/>
      <c r="AB182" s="1"/>
      <c r="AC182" s="1"/>
      <c r="AD182" s="1"/>
      <c r="AE182" s="1"/>
      <c r="AF182" s="98"/>
      <c r="AG182" s="1"/>
    </row>
    <row r="183" spans="1:33">
      <c r="A183" s="5">
        <v>20714</v>
      </c>
      <c r="B183" s="22" t="str">
        <f>INDEX(MeritBonus!$G$9:$G$500,MATCH('Performance Summary'!A183,MeritBonus!$F$9:$F$500,0))</f>
        <v>Robert Boatwright</v>
      </c>
      <c r="C183" s="22">
        <f>INDEX(MeritBonus!$L$9:$L$500,MATCH('Performance Summary'!A183,MeritBonus!$F$9:$F$500,0))</f>
        <v>4569</v>
      </c>
      <c r="D183" s="22" t="str">
        <f>INDEX(MeritBonus!$M$9:$M$500,MATCH('Performance Summary'!A183,MeritBonus!$F$9:$F$500,0))</f>
        <v>Gina Hernandez</v>
      </c>
      <c r="E183" s="22" t="str">
        <f>INDEX(MeritBonus!$J$9:$J$500,MATCH('Performance Summary'!A183,MeritBonus!$F$9:$F$500,0))</f>
        <v>South</v>
      </c>
      <c r="F183" s="22" t="str">
        <f>INDEX(MeritBonus!$N$9:$N$500,MATCH('Performance Summary'!A183,MeritBonus!$F$9:$F$500,0))</f>
        <v>Active</v>
      </c>
      <c r="G183" s="22" t="str">
        <f>INDEX(MeritBonus!$AG$9:$AG$500,MATCH('Performance Summary'!A183,MeritBonus!$F$9:$F$500,0))</f>
        <v>Meets</v>
      </c>
      <c r="H183" s="32" t="str">
        <f>INDEX(MeritBonus!$CV$9:$CV$500,MATCH('Performance Summary'!A183,MeritBonus!$F$9:$F$500,0))</f>
        <v>86672;36523</v>
      </c>
      <c r="I183" s="32" t="str">
        <f t="shared" si="15"/>
        <v/>
      </c>
      <c r="J183" s="32" t="str">
        <f t="shared" si="16"/>
        <v>Robert Boatwright</v>
      </c>
      <c r="K183" s="32" t="str">
        <f t="shared" si="17"/>
        <v/>
      </c>
      <c r="L183" s="32" t="str">
        <f t="shared" si="18"/>
        <v/>
      </c>
      <c r="M183" s="1"/>
      <c r="N183" s="198" t="str">
        <f t="shared" si="14"/>
        <v>Show</v>
      </c>
      <c r="O183" s="1"/>
      <c r="P183" s="1"/>
      <c r="Q183" s="1"/>
      <c r="R183" s="1"/>
      <c r="S183" s="1"/>
      <c r="T183" s="1"/>
      <c r="U183" s="1"/>
      <c r="V183" s="98"/>
      <c r="W183" s="1"/>
      <c r="X183" s="1"/>
      <c r="Y183" s="1"/>
      <c r="Z183" s="1"/>
      <c r="AA183" s="1"/>
      <c r="AB183" s="1"/>
      <c r="AC183" s="1"/>
      <c r="AD183" s="1"/>
      <c r="AE183" s="1"/>
      <c r="AF183" s="98"/>
      <c r="AG183" s="1"/>
    </row>
    <row r="184" spans="1:33">
      <c r="A184" s="5">
        <v>20717</v>
      </c>
      <c r="B184" s="22" t="str">
        <f>INDEX(MeritBonus!$G$9:$G$500,MATCH('Performance Summary'!A184,MeritBonus!$F$9:$F$500,0))</f>
        <v>Kathryn Scharf</v>
      </c>
      <c r="C184" s="22">
        <f>INDEX(MeritBonus!$L$9:$L$500,MATCH('Performance Summary'!A184,MeritBonus!$F$9:$F$500,0))</f>
        <v>29326</v>
      </c>
      <c r="D184" s="22" t="str">
        <f>INDEX(MeritBonus!$M$9:$M$500,MATCH('Performance Summary'!A184,MeritBonus!$F$9:$F$500,0))</f>
        <v>Maxine Mceachern</v>
      </c>
      <c r="E184" s="22" t="str">
        <f>INDEX(MeritBonus!$J$9:$J$500,MATCH('Performance Summary'!A184,MeritBonus!$F$9:$F$500,0))</f>
        <v>Midwest</v>
      </c>
      <c r="F184" s="22" t="str">
        <f>INDEX(MeritBonus!$N$9:$N$500,MATCH('Performance Summary'!A184,MeritBonus!$F$9:$F$500,0))</f>
        <v>Active</v>
      </c>
      <c r="G184" s="22" t="str">
        <f>INDEX(MeritBonus!$AG$9:$AG$500,MATCH('Performance Summary'!A184,MeritBonus!$F$9:$F$500,0))</f>
        <v>Exceeds</v>
      </c>
      <c r="H184" s="32" t="str">
        <f>INDEX(MeritBonus!$CV$9:$CV$500,MATCH('Performance Summary'!A184,MeritBonus!$F$9:$F$500,0))</f>
        <v>67890;86672</v>
      </c>
      <c r="I184" s="32" t="str">
        <f t="shared" si="15"/>
        <v>Kathryn Scharf</v>
      </c>
      <c r="J184" s="32" t="str">
        <f t="shared" si="16"/>
        <v/>
      </c>
      <c r="K184" s="32" t="str">
        <f t="shared" si="17"/>
        <v/>
      </c>
      <c r="L184" s="32" t="str">
        <f t="shared" si="18"/>
        <v/>
      </c>
      <c r="M184" s="1"/>
      <c r="N184" s="198" t="str">
        <f t="shared" si="14"/>
        <v>Show</v>
      </c>
      <c r="O184" s="1"/>
      <c r="P184" s="1"/>
      <c r="Q184" s="1"/>
      <c r="R184" s="1"/>
      <c r="S184" s="1"/>
      <c r="T184" s="1"/>
      <c r="U184" s="1"/>
      <c r="V184" s="98"/>
      <c r="W184" s="1"/>
      <c r="X184" s="1"/>
      <c r="Y184" s="1"/>
      <c r="Z184" s="1"/>
      <c r="AA184" s="1"/>
      <c r="AB184" s="1"/>
      <c r="AC184" s="1"/>
      <c r="AD184" s="1"/>
      <c r="AE184" s="1"/>
      <c r="AF184" s="98"/>
      <c r="AG184" s="1"/>
    </row>
    <row r="185" spans="1:33">
      <c r="A185" s="5">
        <v>20732</v>
      </c>
      <c r="B185" s="22" t="str">
        <f>INDEX(MeritBonus!$G$9:$G$500,MATCH('Performance Summary'!A185,MeritBonus!$F$9:$F$500,0))</f>
        <v>Art Haney</v>
      </c>
      <c r="C185" s="22">
        <f>INDEX(MeritBonus!$L$9:$L$500,MATCH('Performance Summary'!A185,MeritBonus!$F$9:$F$500,0))</f>
        <v>29342</v>
      </c>
      <c r="D185" s="22" t="str">
        <f>INDEX(MeritBonus!$M$9:$M$500,MATCH('Performance Summary'!A185,MeritBonus!$F$9:$F$500,0))</f>
        <v>Steven Van</v>
      </c>
      <c r="E185" s="22" t="str">
        <f>INDEX(MeritBonus!$J$9:$J$500,MATCH('Performance Summary'!A185,MeritBonus!$F$9:$F$500,0))</f>
        <v>Midwest</v>
      </c>
      <c r="F185" s="22" t="str">
        <f>INDEX(MeritBonus!$N$9:$N$500,MATCH('Performance Summary'!A185,MeritBonus!$F$9:$F$500,0))</f>
        <v>Active</v>
      </c>
      <c r="G185" s="22" t="str">
        <f>INDEX(MeritBonus!$AG$9:$AG$500,MATCH('Performance Summary'!A185,MeritBonus!$F$9:$F$500,0))</f>
        <v>Meets</v>
      </c>
      <c r="H185" s="32" t="str">
        <f>INDEX(MeritBonus!$CV$9:$CV$500,MATCH('Performance Summary'!A185,MeritBonus!$F$9:$F$500,0))</f>
        <v>67890;86672</v>
      </c>
      <c r="I185" s="32" t="str">
        <f t="shared" si="15"/>
        <v/>
      </c>
      <c r="J185" s="32" t="str">
        <f t="shared" si="16"/>
        <v>Art Haney</v>
      </c>
      <c r="K185" s="32" t="str">
        <f t="shared" si="17"/>
        <v/>
      </c>
      <c r="L185" s="32" t="str">
        <f t="shared" si="18"/>
        <v/>
      </c>
      <c r="M185" s="1"/>
      <c r="N185" s="198" t="str">
        <f t="shared" si="14"/>
        <v>Show</v>
      </c>
      <c r="O185" s="1"/>
      <c r="P185" s="1"/>
      <c r="Q185" s="1"/>
      <c r="R185" s="1"/>
      <c r="S185" s="1"/>
      <c r="T185" s="1"/>
      <c r="U185" s="1"/>
      <c r="V185" s="98"/>
      <c r="W185" s="1"/>
      <c r="X185" s="1"/>
      <c r="Y185" s="1"/>
      <c r="Z185" s="1"/>
      <c r="AA185" s="1"/>
      <c r="AB185" s="1"/>
      <c r="AC185" s="1"/>
      <c r="AD185" s="1"/>
      <c r="AE185" s="1"/>
      <c r="AF185" s="98"/>
      <c r="AG185" s="1"/>
    </row>
    <row r="186" spans="1:33">
      <c r="A186" s="5">
        <v>20734</v>
      </c>
      <c r="B186" s="22" t="str">
        <f>INDEX(MeritBonus!$G$9:$G$500,MATCH('Performance Summary'!A186,MeritBonus!$F$9:$F$500,0))</f>
        <v>Monique Highsmith</v>
      </c>
      <c r="C186" s="22">
        <f>INDEX(MeritBonus!$L$9:$L$500,MATCH('Performance Summary'!A186,MeritBonus!$F$9:$F$500,0))</f>
        <v>29331</v>
      </c>
      <c r="D186" s="22" t="str">
        <f>INDEX(MeritBonus!$M$9:$M$500,MATCH('Performance Summary'!A186,MeritBonus!$F$9:$F$500,0))</f>
        <v>Jack Falkner</v>
      </c>
      <c r="E186" s="22" t="str">
        <f>INDEX(MeritBonus!$J$9:$J$500,MATCH('Performance Summary'!A186,MeritBonus!$F$9:$F$500,0))</f>
        <v>Midwest</v>
      </c>
      <c r="F186" s="22" t="str">
        <f>INDEX(MeritBonus!$N$9:$N$500,MATCH('Performance Summary'!A186,MeritBonus!$F$9:$F$500,0))</f>
        <v>Active</v>
      </c>
      <c r="G186" s="22" t="str">
        <f>INDEX(MeritBonus!$AG$9:$AG$500,MATCH('Performance Summary'!A186,MeritBonus!$F$9:$F$500,0))</f>
        <v>Meets</v>
      </c>
      <c r="H186" s="32" t="str">
        <f>INDEX(MeritBonus!$CV$9:$CV$500,MATCH('Performance Summary'!A186,MeritBonus!$F$9:$F$500,0))</f>
        <v>67890;86672</v>
      </c>
      <c r="I186" s="32" t="str">
        <f t="shared" si="15"/>
        <v/>
      </c>
      <c r="J186" s="32" t="str">
        <f t="shared" si="16"/>
        <v>Monique Highsmith</v>
      </c>
      <c r="K186" s="32" t="str">
        <f t="shared" si="17"/>
        <v/>
      </c>
      <c r="L186" s="32" t="str">
        <f t="shared" si="18"/>
        <v/>
      </c>
      <c r="M186" s="1"/>
      <c r="N186" s="198" t="str">
        <f t="shared" si="14"/>
        <v>Show</v>
      </c>
      <c r="O186" s="1"/>
      <c r="P186" s="1"/>
      <c r="Q186" s="1"/>
      <c r="R186" s="1"/>
      <c r="S186" s="1"/>
      <c r="T186" s="1"/>
      <c r="U186" s="1"/>
      <c r="V186" s="98"/>
      <c r="W186" s="1"/>
      <c r="X186" s="1"/>
      <c r="Y186" s="1"/>
      <c r="Z186" s="1"/>
      <c r="AA186" s="1"/>
      <c r="AB186" s="1"/>
      <c r="AC186" s="1"/>
      <c r="AD186" s="1"/>
      <c r="AE186" s="1"/>
      <c r="AF186" s="98"/>
      <c r="AG186" s="1"/>
    </row>
    <row r="187" spans="1:33">
      <c r="A187" s="5">
        <v>20751</v>
      </c>
      <c r="B187" s="22" t="str">
        <f>INDEX(MeritBonus!$G$9:$G$500,MATCH('Performance Summary'!A187,MeritBonus!$F$9:$F$500,0))</f>
        <v>Anthony Ewell</v>
      </c>
      <c r="C187" s="22">
        <f>INDEX(MeritBonus!$L$9:$L$500,MATCH('Performance Summary'!A187,MeritBonus!$F$9:$F$500,0))</f>
        <v>29326</v>
      </c>
      <c r="D187" s="22" t="str">
        <f>INDEX(MeritBonus!$M$9:$M$500,MATCH('Performance Summary'!A187,MeritBonus!$F$9:$F$500,0))</f>
        <v>Maxine Mceachern</v>
      </c>
      <c r="E187" s="22" t="str">
        <f>INDEX(MeritBonus!$J$9:$J$500,MATCH('Performance Summary'!A187,MeritBonus!$F$9:$F$500,0))</f>
        <v>Midwest</v>
      </c>
      <c r="F187" s="22" t="str">
        <f>INDEX(MeritBonus!$N$9:$N$500,MATCH('Performance Summary'!A187,MeritBonus!$F$9:$F$500,0))</f>
        <v>Active</v>
      </c>
      <c r="G187" s="22" t="str">
        <f>INDEX(MeritBonus!$AG$9:$AG$500,MATCH('Performance Summary'!A187,MeritBonus!$F$9:$F$500,0))</f>
        <v>Meets</v>
      </c>
      <c r="H187" s="32" t="str">
        <f>INDEX(MeritBonus!$CV$9:$CV$500,MATCH('Performance Summary'!A187,MeritBonus!$F$9:$F$500,0))</f>
        <v>67890;86672</v>
      </c>
      <c r="I187" s="32" t="str">
        <f t="shared" si="15"/>
        <v/>
      </c>
      <c r="J187" s="32" t="str">
        <f t="shared" si="16"/>
        <v>Anthony Ewell</v>
      </c>
      <c r="K187" s="32" t="str">
        <f t="shared" si="17"/>
        <v/>
      </c>
      <c r="L187" s="32" t="str">
        <f t="shared" si="18"/>
        <v/>
      </c>
      <c r="M187" s="1"/>
      <c r="N187" s="198" t="str">
        <f t="shared" si="14"/>
        <v>Show</v>
      </c>
      <c r="O187" s="1"/>
      <c r="P187" s="1"/>
      <c r="Q187" s="1"/>
      <c r="R187" s="1"/>
      <c r="S187" s="1"/>
      <c r="T187" s="1"/>
      <c r="U187" s="1"/>
      <c r="V187" s="98"/>
      <c r="W187" s="1"/>
      <c r="X187" s="1"/>
      <c r="Y187" s="1"/>
      <c r="Z187" s="1"/>
      <c r="AA187" s="1"/>
      <c r="AB187" s="1"/>
      <c r="AC187" s="1"/>
      <c r="AD187" s="1"/>
      <c r="AE187" s="1"/>
      <c r="AF187" s="98"/>
      <c r="AG187" s="1"/>
    </row>
    <row r="188" spans="1:33">
      <c r="A188" s="5">
        <v>20753</v>
      </c>
      <c r="B188" s="22" t="str">
        <f>INDEX(MeritBonus!$G$9:$G$500,MATCH('Performance Summary'!A188,MeritBonus!$F$9:$F$500,0))</f>
        <v>Kristina Brenneman</v>
      </c>
      <c r="C188" s="22">
        <f>INDEX(MeritBonus!$L$9:$L$500,MATCH('Performance Summary'!A188,MeritBonus!$F$9:$F$500,0))</f>
        <v>29271</v>
      </c>
      <c r="D188" s="22" t="str">
        <f>INDEX(MeritBonus!$M$9:$M$500,MATCH('Performance Summary'!A188,MeritBonus!$F$9:$F$500,0))</f>
        <v>Eugene Coe</v>
      </c>
      <c r="E188" s="22" t="str">
        <f>INDEX(MeritBonus!$J$9:$J$500,MATCH('Performance Summary'!A188,MeritBonus!$F$9:$F$500,0))</f>
        <v>West</v>
      </c>
      <c r="F188" s="22" t="str">
        <f>INDEX(MeritBonus!$N$9:$N$500,MATCH('Performance Summary'!A188,MeritBonus!$F$9:$F$500,0))</f>
        <v>Active</v>
      </c>
      <c r="G188" s="22" t="str">
        <f>INDEX(MeritBonus!$AG$9:$AG$500,MATCH('Performance Summary'!A188,MeritBonus!$F$9:$F$500,0))</f>
        <v>Below</v>
      </c>
      <c r="H188" s="32" t="str">
        <f>INDEX(MeritBonus!$CV$9:$CV$500,MATCH('Performance Summary'!A188,MeritBonus!$F$9:$F$500,0))</f>
        <v>86672;36523</v>
      </c>
      <c r="I188" s="32" t="str">
        <f t="shared" si="15"/>
        <v/>
      </c>
      <c r="J188" s="32" t="str">
        <f t="shared" si="16"/>
        <v/>
      </c>
      <c r="K188" s="32" t="str">
        <f t="shared" si="17"/>
        <v>Kristina Brenneman</v>
      </c>
      <c r="L188" s="32" t="str">
        <f t="shared" si="18"/>
        <v/>
      </c>
      <c r="M188" s="1"/>
      <c r="N188" s="198" t="str">
        <f t="shared" si="14"/>
        <v>Show</v>
      </c>
      <c r="O188" s="1"/>
      <c r="P188" s="1"/>
      <c r="Q188" s="1"/>
      <c r="R188" s="1"/>
      <c r="S188" s="1"/>
      <c r="T188" s="1"/>
      <c r="U188" s="1"/>
      <c r="V188" s="98"/>
      <c r="W188" s="1"/>
      <c r="X188" s="1"/>
      <c r="Y188" s="1"/>
      <c r="Z188" s="1"/>
      <c r="AA188" s="1"/>
      <c r="AB188" s="1"/>
      <c r="AC188" s="1"/>
      <c r="AD188" s="1"/>
      <c r="AE188" s="1"/>
      <c r="AF188" s="98"/>
      <c r="AG188" s="1"/>
    </row>
    <row r="189" spans="1:33">
      <c r="A189" s="5">
        <v>20762</v>
      </c>
      <c r="B189" s="22" t="str">
        <f>INDEX(MeritBonus!$G$9:$G$500,MATCH('Performance Summary'!A189,MeritBonus!$F$9:$F$500,0))</f>
        <v>Carolyn Rockett</v>
      </c>
      <c r="C189" s="22">
        <f>INDEX(MeritBonus!$L$9:$L$500,MATCH('Performance Summary'!A189,MeritBonus!$F$9:$F$500,0))</f>
        <v>11498</v>
      </c>
      <c r="D189" s="22" t="str">
        <f>INDEX(MeritBonus!$M$9:$M$500,MATCH('Performance Summary'!A189,MeritBonus!$F$9:$F$500,0))</f>
        <v>John Jaworski</v>
      </c>
      <c r="E189" s="22" t="str">
        <f>INDEX(MeritBonus!$J$9:$J$500,MATCH('Performance Summary'!A189,MeritBonus!$F$9:$F$500,0))</f>
        <v>South</v>
      </c>
      <c r="F189" s="22" t="str">
        <f>INDEX(MeritBonus!$N$9:$N$500,MATCH('Performance Summary'!A189,MeritBonus!$F$9:$F$500,0))</f>
        <v>Active</v>
      </c>
      <c r="G189" s="22" t="str">
        <f>INDEX(MeritBonus!$AG$9:$AG$500,MATCH('Performance Summary'!A189,MeritBonus!$F$9:$F$500,0))</f>
        <v>Meets</v>
      </c>
      <c r="H189" s="32" t="str">
        <f>INDEX(MeritBonus!$CV$9:$CV$500,MATCH('Performance Summary'!A189,MeritBonus!$F$9:$F$500,0))</f>
        <v>99485;36523</v>
      </c>
      <c r="I189" s="32" t="str">
        <f t="shared" si="15"/>
        <v/>
      </c>
      <c r="J189" s="32" t="str">
        <f t="shared" si="16"/>
        <v>Carolyn Rockett</v>
      </c>
      <c r="K189" s="32" t="str">
        <f t="shared" si="17"/>
        <v/>
      </c>
      <c r="L189" s="32" t="str">
        <f t="shared" si="18"/>
        <v/>
      </c>
      <c r="M189" s="1"/>
      <c r="N189" s="198" t="str">
        <f t="shared" si="14"/>
        <v>Show</v>
      </c>
      <c r="O189" s="1"/>
      <c r="P189" s="1"/>
      <c r="Q189" s="1"/>
      <c r="R189" s="1"/>
      <c r="S189" s="1"/>
      <c r="T189" s="1"/>
      <c r="U189" s="1"/>
      <c r="V189" s="98"/>
      <c r="W189" s="1"/>
      <c r="X189" s="1"/>
      <c r="Y189" s="1"/>
      <c r="Z189" s="1"/>
      <c r="AA189" s="1"/>
      <c r="AB189" s="1"/>
      <c r="AC189" s="1"/>
      <c r="AD189" s="1"/>
      <c r="AE189" s="1"/>
      <c r="AF189" s="98"/>
      <c r="AG189" s="1"/>
    </row>
    <row r="190" spans="1:33">
      <c r="A190" s="5">
        <v>20770</v>
      </c>
      <c r="B190" s="22" t="str">
        <f>INDEX(MeritBonus!$G$9:$G$500,MATCH('Performance Summary'!A190,MeritBonus!$F$9:$F$500,0))</f>
        <v>Christopher Hedge</v>
      </c>
      <c r="C190" s="22">
        <f>INDEX(MeritBonus!$L$9:$L$500,MATCH('Performance Summary'!A190,MeritBonus!$F$9:$F$500,0))</f>
        <v>29326</v>
      </c>
      <c r="D190" s="22" t="str">
        <f>INDEX(MeritBonus!$M$9:$M$500,MATCH('Performance Summary'!A190,MeritBonus!$F$9:$F$500,0))</f>
        <v>Maxine Mceachern</v>
      </c>
      <c r="E190" s="22" t="str">
        <f>INDEX(MeritBonus!$J$9:$J$500,MATCH('Performance Summary'!A190,MeritBonus!$F$9:$F$500,0))</f>
        <v>Midwest</v>
      </c>
      <c r="F190" s="22" t="str">
        <f>INDEX(MeritBonus!$N$9:$N$500,MATCH('Performance Summary'!A190,MeritBonus!$F$9:$F$500,0))</f>
        <v>Active</v>
      </c>
      <c r="G190" s="22" t="str">
        <f>INDEX(MeritBonus!$AG$9:$AG$500,MATCH('Performance Summary'!A190,MeritBonus!$F$9:$F$500,0))</f>
        <v>Meets</v>
      </c>
      <c r="H190" s="32" t="str">
        <f>INDEX(MeritBonus!$CV$9:$CV$500,MATCH('Performance Summary'!A190,MeritBonus!$F$9:$F$500,0))</f>
        <v>67890;86672</v>
      </c>
      <c r="I190" s="32" t="str">
        <f t="shared" si="15"/>
        <v/>
      </c>
      <c r="J190" s="32" t="str">
        <f t="shared" si="16"/>
        <v>Christopher Hedge</v>
      </c>
      <c r="K190" s="32" t="str">
        <f t="shared" si="17"/>
        <v/>
      </c>
      <c r="L190" s="32" t="str">
        <f t="shared" si="18"/>
        <v/>
      </c>
      <c r="M190" s="1"/>
      <c r="N190" s="198" t="str">
        <f t="shared" si="14"/>
        <v>Show</v>
      </c>
      <c r="O190" s="1"/>
      <c r="P190" s="1"/>
      <c r="Q190" s="1"/>
      <c r="R190" s="1"/>
      <c r="S190" s="1"/>
      <c r="T190" s="1"/>
      <c r="U190" s="1"/>
      <c r="V190" s="98"/>
      <c r="W190" s="1"/>
      <c r="X190" s="1"/>
      <c r="Y190" s="1"/>
      <c r="Z190" s="1"/>
      <c r="AA190" s="1"/>
      <c r="AB190" s="1"/>
      <c r="AC190" s="1"/>
      <c r="AD190" s="1"/>
      <c r="AE190" s="1"/>
      <c r="AF190" s="98"/>
      <c r="AG190" s="1"/>
    </row>
    <row r="191" spans="1:33">
      <c r="A191" s="5">
        <v>22676</v>
      </c>
      <c r="B191" s="22" t="str">
        <f>INDEX(MeritBonus!$G$9:$G$500,MATCH('Performance Summary'!A191,MeritBonus!$F$9:$F$500,0))</f>
        <v>Billy Zack</v>
      </c>
      <c r="C191" s="22">
        <f>INDEX(MeritBonus!$L$9:$L$500,MATCH('Performance Summary'!A191,MeritBonus!$F$9:$F$500,0))</f>
        <v>11277</v>
      </c>
      <c r="D191" s="22" t="str">
        <f>INDEX(MeritBonus!$M$9:$M$500,MATCH('Performance Summary'!A191,MeritBonus!$F$9:$F$500,0))</f>
        <v>Mamie Townley</v>
      </c>
      <c r="E191" s="22" t="str">
        <f>INDEX(MeritBonus!$J$9:$J$500,MATCH('Performance Summary'!A191,MeritBonus!$F$9:$F$500,0))</f>
        <v>East</v>
      </c>
      <c r="F191" s="22" t="str">
        <f>INDEX(MeritBonus!$N$9:$N$500,MATCH('Performance Summary'!A191,MeritBonus!$F$9:$F$500,0))</f>
        <v>Active</v>
      </c>
      <c r="G191" s="22" t="str">
        <f>INDEX(MeritBonus!$AG$9:$AG$500,MATCH('Performance Summary'!A191,MeritBonus!$F$9:$F$500,0))</f>
        <v>Exceeds</v>
      </c>
      <c r="H191" s="32" t="str">
        <f>INDEX(MeritBonus!$CV$9:$CV$500,MATCH('Performance Summary'!A191,MeritBonus!$F$9:$F$500,0))</f>
        <v>90876;99485</v>
      </c>
      <c r="I191" s="32" t="str">
        <f t="shared" si="15"/>
        <v>Billy Zack</v>
      </c>
      <c r="J191" s="32" t="str">
        <f t="shared" si="16"/>
        <v/>
      </c>
      <c r="K191" s="32" t="str">
        <f t="shared" si="17"/>
        <v/>
      </c>
      <c r="L191" s="32" t="str">
        <f t="shared" si="18"/>
        <v/>
      </c>
      <c r="M191" s="1"/>
      <c r="N191" s="198" t="str">
        <f t="shared" si="14"/>
        <v>Show</v>
      </c>
      <c r="O191" s="1"/>
      <c r="P191" s="1"/>
      <c r="Q191" s="1"/>
      <c r="R191" s="1"/>
      <c r="S191" s="1"/>
      <c r="T191" s="1"/>
      <c r="U191" s="1"/>
      <c r="V191" s="98"/>
      <c r="W191" s="1"/>
      <c r="X191" s="1"/>
      <c r="Y191" s="1"/>
      <c r="Z191" s="1"/>
      <c r="AA191" s="1"/>
      <c r="AB191" s="1"/>
      <c r="AC191" s="1"/>
      <c r="AD191" s="1"/>
      <c r="AE191" s="1"/>
      <c r="AF191" s="98"/>
      <c r="AG191" s="1"/>
    </row>
    <row r="192" spans="1:33">
      <c r="A192" s="5">
        <v>26892</v>
      </c>
      <c r="B192" s="22" t="str">
        <f>INDEX(MeritBonus!$G$9:$G$500,MATCH('Performance Summary'!A192,MeritBonus!$F$9:$F$500,0))</f>
        <v>Jill Anthony</v>
      </c>
      <c r="C192" s="22">
        <f>INDEX(MeritBonus!$L$9:$L$500,MATCH('Performance Summary'!A192,MeritBonus!$F$9:$F$500,0))</f>
        <v>11498</v>
      </c>
      <c r="D192" s="22" t="str">
        <f>INDEX(MeritBonus!$M$9:$M$500,MATCH('Performance Summary'!A192,MeritBonus!$F$9:$F$500,0))</f>
        <v>John Jaworski</v>
      </c>
      <c r="E192" s="22" t="str">
        <f>INDEX(MeritBonus!$J$9:$J$500,MATCH('Performance Summary'!A192,MeritBonus!$F$9:$F$500,0))</f>
        <v>South</v>
      </c>
      <c r="F192" s="22" t="str">
        <f>INDEX(MeritBonus!$N$9:$N$500,MATCH('Performance Summary'!A192,MeritBonus!$F$9:$F$500,0))</f>
        <v>Active</v>
      </c>
      <c r="G192" s="22" t="str">
        <f>INDEX(MeritBonus!$AG$9:$AG$500,MATCH('Performance Summary'!A192,MeritBonus!$F$9:$F$500,0))</f>
        <v>Below</v>
      </c>
      <c r="H192" s="32" t="str">
        <f>INDEX(MeritBonus!$CV$9:$CV$500,MATCH('Performance Summary'!A192,MeritBonus!$F$9:$F$500,0))</f>
        <v>99485;36523</v>
      </c>
      <c r="I192" s="32" t="str">
        <f t="shared" si="15"/>
        <v/>
      </c>
      <c r="J192" s="32" t="str">
        <f t="shared" si="16"/>
        <v/>
      </c>
      <c r="K192" s="32" t="str">
        <f t="shared" si="17"/>
        <v>Jill Anthony</v>
      </c>
      <c r="L192" s="32" t="str">
        <f t="shared" si="18"/>
        <v/>
      </c>
      <c r="M192" s="1"/>
      <c r="N192" s="198" t="str">
        <f t="shared" si="14"/>
        <v>Show</v>
      </c>
      <c r="O192" s="1"/>
      <c r="P192" s="1"/>
      <c r="Q192" s="1"/>
      <c r="R192" s="1"/>
      <c r="S192" s="1"/>
      <c r="T192" s="1"/>
      <c r="U192" s="1"/>
      <c r="V192" s="98"/>
      <c r="W192" s="1"/>
      <c r="X192" s="1"/>
      <c r="Y192" s="1"/>
      <c r="Z192" s="1"/>
      <c r="AA192" s="1"/>
      <c r="AB192" s="1"/>
      <c r="AC192" s="1"/>
      <c r="AD192" s="1"/>
      <c r="AE192" s="1"/>
      <c r="AF192" s="98"/>
      <c r="AG192" s="1"/>
    </row>
    <row r="193" spans="1:33">
      <c r="A193" s="5">
        <v>27726</v>
      </c>
      <c r="B193" s="22" t="str">
        <f>INDEX(MeritBonus!$G$9:$G$500,MATCH('Performance Summary'!A193,MeritBonus!$F$9:$F$500,0))</f>
        <v>Melissa Guyer</v>
      </c>
      <c r="C193" s="22">
        <f>INDEX(MeritBonus!$L$9:$L$500,MATCH('Performance Summary'!A193,MeritBonus!$F$9:$F$500,0))</f>
        <v>11277</v>
      </c>
      <c r="D193" s="22" t="str">
        <f>INDEX(MeritBonus!$M$9:$M$500,MATCH('Performance Summary'!A193,MeritBonus!$F$9:$F$500,0))</f>
        <v>Mamie Townley</v>
      </c>
      <c r="E193" s="22" t="str">
        <f>INDEX(MeritBonus!$J$9:$J$500,MATCH('Performance Summary'!A193,MeritBonus!$F$9:$F$500,0))</f>
        <v>East</v>
      </c>
      <c r="F193" s="22" t="str">
        <f>INDEX(MeritBonus!$N$9:$N$500,MATCH('Performance Summary'!A193,MeritBonus!$F$9:$F$500,0))</f>
        <v>Active</v>
      </c>
      <c r="G193" s="22" t="str">
        <f>INDEX(MeritBonus!$AG$9:$AG$500,MATCH('Performance Summary'!A193,MeritBonus!$F$9:$F$500,0))</f>
        <v>Meets</v>
      </c>
      <c r="H193" s="32" t="str">
        <f>INDEX(MeritBonus!$CV$9:$CV$500,MATCH('Performance Summary'!A193,MeritBonus!$F$9:$F$500,0))</f>
        <v>90876;99485</v>
      </c>
      <c r="I193" s="32" t="str">
        <f t="shared" si="15"/>
        <v/>
      </c>
      <c r="J193" s="32" t="str">
        <f t="shared" si="16"/>
        <v>Melissa Guyer</v>
      </c>
      <c r="K193" s="32" t="str">
        <f t="shared" si="17"/>
        <v/>
      </c>
      <c r="L193" s="32" t="str">
        <f t="shared" si="18"/>
        <v/>
      </c>
      <c r="M193" s="1"/>
      <c r="N193" s="198" t="str">
        <f t="shared" si="14"/>
        <v>Show</v>
      </c>
      <c r="O193" s="1"/>
      <c r="P193" s="1"/>
      <c r="Q193" s="1"/>
      <c r="R193" s="1"/>
      <c r="S193" s="1"/>
      <c r="T193" s="1"/>
      <c r="U193" s="1"/>
      <c r="V193" s="98"/>
      <c r="W193" s="1"/>
      <c r="X193" s="1"/>
      <c r="Y193" s="1"/>
      <c r="Z193" s="1"/>
      <c r="AA193" s="1"/>
      <c r="AB193" s="1"/>
      <c r="AC193" s="1"/>
      <c r="AD193" s="1"/>
      <c r="AE193" s="1"/>
      <c r="AF193" s="98"/>
      <c r="AG193" s="1"/>
    </row>
    <row r="194" spans="1:33">
      <c r="A194" s="5">
        <v>27824</v>
      </c>
      <c r="B194" s="22" t="str">
        <f>INDEX(MeritBonus!$G$9:$G$500,MATCH('Performance Summary'!A194,MeritBonus!$F$9:$F$500,0))</f>
        <v>Violet Speer</v>
      </c>
      <c r="C194" s="22">
        <f>INDEX(MeritBonus!$L$9:$L$500,MATCH('Performance Summary'!A194,MeritBonus!$F$9:$F$500,0))</f>
        <v>11277</v>
      </c>
      <c r="D194" s="22" t="str">
        <f>INDEX(MeritBonus!$M$9:$M$500,MATCH('Performance Summary'!A194,MeritBonus!$F$9:$F$500,0))</f>
        <v>Mamie Townley</v>
      </c>
      <c r="E194" s="22" t="str">
        <f>INDEX(MeritBonus!$J$9:$J$500,MATCH('Performance Summary'!A194,MeritBonus!$F$9:$F$500,0))</f>
        <v>East</v>
      </c>
      <c r="F194" s="22" t="str">
        <f>INDEX(MeritBonus!$N$9:$N$500,MATCH('Performance Summary'!A194,MeritBonus!$F$9:$F$500,0))</f>
        <v>Active</v>
      </c>
      <c r="G194" s="22" t="str">
        <f>INDEX(MeritBonus!$AG$9:$AG$500,MATCH('Performance Summary'!A194,MeritBonus!$F$9:$F$500,0))</f>
        <v>Exceeds</v>
      </c>
      <c r="H194" s="32" t="str">
        <f>INDEX(MeritBonus!$CV$9:$CV$500,MATCH('Performance Summary'!A194,MeritBonus!$F$9:$F$500,0))</f>
        <v>90876;99485</v>
      </c>
      <c r="I194" s="32" t="str">
        <f t="shared" si="15"/>
        <v>Violet Speer</v>
      </c>
      <c r="J194" s="32" t="str">
        <f t="shared" si="16"/>
        <v/>
      </c>
      <c r="K194" s="32" t="str">
        <f t="shared" si="17"/>
        <v/>
      </c>
      <c r="L194" s="32" t="str">
        <f t="shared" si="18"/>
        <v/>
      </c>
      <c r="M194" s="1"/>
      <c r="N194" s="198" t="str">
        <f t="shared" ref="N194:N218" si="19">IF(OR(LEN(I194)&gt;0,LEN(J194)&gt;0,LEN(K194)&gt;0,LEN(L194)&gt;0),"Show","")</f>
        <v>Show</v>
      </c>
      <c r="O194" s="1"/>
      <c r="P194" s="1"/>
      <c r="Q194" s="1"/>
      <c r="R194" s="1"/>
      <c r="S194" s="1"/>
      <c r="T194" s="1"/>
      <c r="U194" s="1"/>
      <c r="V194" s="98"/>
      <c r="W194" s="1"/>
      <c r="X194" s="1"/>
      <c r="Y194" s="1"/>
      <c r="Z194" s="1"/>
      <c r="AA194" s="1"/>
      <c r="AB194" s="1"/>
      <c r="AC194" s="1"/>
      <c r="AD194" s="1"/>
      <c r="AE194" s="1"/>
      <c r="AF194" s="98"/>
      <c r="AG194" s="1"/>
    </row>
    <row r="195" spans="1:33">
      <c r="A195" s="5">
        <v>27826</v>
      </c>
      <c r="B195" s="22" t="str">
        <f>INDEX(MeritBonus!$G$9:$G$500,MATCH('Performance Summary'!A195,MeritBonus!$F$9:$F$500,0))</f>
        <v>Marjorie Ferguson</v>
      </c>
      <c r="C195" s="22">
        <f>INDEX(MeritBonus!$L$9:$L$500,MATCH('Performance Summary'!A195,MeritBonus!$F$9:$F$500,0))</f>
        <v>11277</v>
      </c>
      <c r="D195" s="22" t="str">
        <f>INDEX(MeritBonus!$M$9:$M$500,MATCH('Performance Summary'!A195,MeritBonus!$F$9:$F$500,0))</f>
        <v>Mamie Townley</v>
      </c>
      <c r="E195" s="22" t="str">
        <f>INDEX(MeritBonus!$J$9:$J$500,MATCH('Performance Summary'!A195,MeritBonus!$F$9:$F$500,0))</f>
        <v>East</v>
      </c>
      <c r="F195" s="22" t="str">
        <f>INDEX(MeritBonus!$N$9:$N$500,MATCH('Performance Summary'!A195,MeritBonus!$F$9:$F$500,0))</f>
        <v>Active</v>
      </c>
      <c r="G195" s="22" t="str">
        <f>INDEX(MeritBonus!$AG$9:$AG$500,MATCH('Performance Summary'!A195,MeritBonus!$F$9:$F$500,0))</f>
        <v>Below</v>
      </c>
      <c r="H195" s="32" t="str">
        <f>INDEX(MeritBonus!$CV$9:$CV$500,MATCH('Performance Summary'!A195,MeritBonus!$F$9:$F$500,0))</f>
        <v>90876;99485</v>
      </c>
      <c r="I195" s="32" t="str">
        <f t="shared" ref="I195:I218" si="20">IF(G195=$I$1,B195,"")</f>
        <v/>
      </c>
      <c r="J195" s="32" t="str">
        <f t="shared" ref="J195:J218" si="21">IF(G195=$J$1,B195,"")</f>
        <v/>
      </c>
      <c r="K195" s="32" t="str">
        <f t="shared" ref="K195:K218" si="22">IF(G195=$K$1,B195,"")</f>
        <v>Marjorie Ferguson</v>
      </c>
      <c r="L195" s="32" t="str">
        <f t="shared" ref="L195:L218" si="23">IF(G195="",B195,"")</f>
        <v/>
      </c>
      <c r="M195" s="1"/>
      <c r="N195" s="198" t="str">
        <f t="shared" si="19"/>
        <v>Show</v>
      </c>
      <c r="O195" s="1"/>
      <c r="P195" s="1"/>
      <c r="Q195" s="1"/>
      <c r="R195" s="1"/>
      <c r="S195" s="1"/>
      <c r="T195" s="1"/>
      <c r="U195" s="1"/>
      <c r="V195" s="98"/>
      <c r="W195" s="1"/>
      <c r="X195" s="1"/>
      <c r="Y195" s="1"/>
      <c r="Z195" s="1"/>
      <c r="AA195" s="1"/>
      <c r="AB195" s="1"/>
      <c r="AC195" s="1"/>
      <c r="AD195" s="1"/>
      <c r="AE195" s="1"/>
      <c r="AF195" s="98"/>
      <c r="AG195" s="1"/>
    </row>
    <row r="196" spans="1:33">
      <c r="A196" s="5">
        <v>27937</v>
      </c>
      <c r="B196" s="22" t="str">
        <f>INDEX(MeritBonus!$G$9:$G$500,MATCH('Performance Summary'!A196,MeritBonus!$F$9:$F$500,0))</f>
        <v>Antonio Casas</v>
      </c>
      <c r="C196" s="22">
        <f>INDEX(MeritBonus!$L$9:$L$500,MATCH('Performance Summary'!A196,MeritBonus!$F$9:$F$500,0))</f>
        <v>11498</v>
      </c>
      <c r="D196" s="22" t="str">
        <f>INDEX(MeritBonus!$M$9:$M$500,MATCH('Performance Summary'!A196,MeritBonus!$F$9:$F$500,0))</f>
        <v>John Jaworski</v>
      </c>
      <c r="E196" s="22" t="str">
        <f>INDEX(MeritBonus!$J$9:$J$500,MATCH('Performance Summary'!A196,MeritBonus!$F$9:$F$500,0))</f>
        <v>East</v>
      </c>
      <c r="F196" s="22" t="str">
        <f>INDEX(MeritBonus!$N$9:$N$500,MATCH('Performance Summary'!A196,MeritBonus!$F$9:$F$500,0))</f>
        <v>Active</v>
      </c>
      <c r="G196" s="22" t="str">
        <f>INDEX(MeritBonus!$AG$9:$AG$500,MATCH('Performance Summary'!A196,MeritBonus!$F$9:$F$500,0))</f>
        <v>Meets</v>
      </c>
      <c r="H196" s="32" t="str">
        <f>INDEX(MeritBonus!$CV$9:$CV$500,MATCH('Performance Summary'!A196,MeritBonus!$F$9:$F$500,0))</f>
        <v>99485;36523</v>
      </c>
      <c r="I196" s="32" t="str">
        <f t="shared" si="20"/>
        <v/>
      </c>
      <c r="J196" s="32" t="str">
        <f t="shared" si="21"/>
        <v>Antonio Casas</v>
      </c>
      <c r="K196" s="32" t="str">
        <f t="shared" si="22"/>
        <v/>
      </c>
      <c r="L196" s="32" t="str">
        <f t="shared" si="23"/>
        <v/>
      </c>
      <c r="M196" s="1"/>
      <c r="N196" s="198" t="str">
        <f t="shared" si="19"/>
        <v>Show</v>
      </c>
      <c r="O196" s="1"/>
      <c r="P196" s="1"/>
      <c r="Q196" s="1"/>
      <c r="R196" s="1"/>
      <c r="S196" s="1"/>
      <c r="T196" s="1"/>
      <c r="U196" s="1"/>
      <c r="V196" s="98"/>
      <c r="W196" s="1"/>
      <c r="X196" s="1"/>
      <c r="Y196" s="1"/>
      <c r="Z196" s="1"/>
      <c r="AA196" s="1"/>
      <c r="AB196" s="1"/>
      <c r="AC196" s="1"/>
      <c r="AD196" s="1"/>
      <c r="AE196" s="1"/>
      <c r="AF196" s="98"/>
      <c r="AG196" s="1"/>
    </row>
    <row r="197" spans="1:33">
      <c r="A197" s="5">
        <v>27939</v>
      </c>
      <c r="B197" s="22" t="str">
        <f>INDEX(MeritBonus!$G$9:$G$500,MATCH('Performance Summary'!A197,MeritBonus!$F$9:$F$500,0))</f>
        <v>Chad Beard</v>
      </c>
      <c r="C197" s="22">
        <f>INDEX(MeritBonus!$L$9:$L$500,MATCH('Performance Summary'!A197,MeritBonus!$F$9:$F$500,0))</f>
        <v>11498</v>
      </c>
      <c r="D197" s="22" t="str">
        <f>INDEX(MeritBonus!$M$9:$M$500,MATCH('Performance Summary'!A197,MeritBonus!$F$9:$F$500,0))</f>
        <v>John Jaworski</v>
      </c>
      <c r="E197" s="22" t="str">
        <f>INDEX(MeritBonus!$J$9:$J$500,MATCH('Performance Summary'!A197,MeritBonus!$F$9:$F$500,0))</f>
        <v>East</v>
      </c>
      <c r="F197" s="22" t="str">
        <f>INDEX(MeritBonus!$N$9:$N$500,MATCH('Performance Summary'!A197,MeritBonus!$F$9:$F$500,0))</f>
        <v>Active</v>
      </c>
      <c r="G197" s="22" t="str">
        <f>INDEX(MeritBonus!$AG$9:$AG$500,MATCH('Performance Summary'!A197,MeritBonus!$F$9:$F$500,0))</f>
        <v>Meets</v>
      </c>
      <c r="H197" s="32" t="str">
        <f>INDEX(MeritBonus!$CV$9:$CV$500,MATCH('Performance Summary'!A197,MeritBonus!$F$9:$F$500,0))</f>
        <v>99485;36523</v>
      </c>
      <c r="I197" s="32" t="str">
        <f t="shared" si="20"/>
        <v/>
      </c>
      <c r="J197" s="32" t="str">
        <f t="shared" si="21"/>
        <v>Chad Beard</v>
      </c>
      <c r="K197" s="32" t="str">
        <f t="shared" si="22"/>
        <v/>
      </c>
      <c r="L197" s="32" t="str">
        <f t="shared" si="23"/>
        <v/>
      </c>
      <c r="M197" s="1"/>
      <c r="N197" s="198" t="str">
        <f t="shared" si="19"/>
        <v>Show</v>
      </c>
      <c r="O197" s="1"/>
      <c r="P197" s="1"/>
      <c r="Q197" s="1"/>
      <c r="R197" s="1"/>
      <c r="S197" s="1"/>
      <c r="T197" s="1"/>
      <c r="U197" s="1"/>
      <c r="V197" s="98"/>
      <c r="W197" s="1"/>
      <c r="X197" s="1"/>
      <c r="Y197" s="1"/>
      <c r="Z197" s="1"/>
      <c r="AA197" s="1"/>
      <c r="AB197" s="1"/>
      <c r="AC197" s="1"/>
      <c r="AD197" s="1"/>
      <c r="AE197" s="1"/>
      <c r="AF197" s="98"/>
      <c r="AG197" s="1"/>
    </row>
    <row r="198" spans="1:33">
      <c r="A198" s="5">
        <v>27943</v>
      </c>
      <c r="B198" s="22" t="str">
        <f>INDEX(MeritBonus!$G$9:$G$500,MATCH('Performance Summary'!A198,MeritBonus!$F$9:$F$500,0))</f>
        <v>Sherri Manzanares</v>
      </c>
      <c r="C198" s="22">
        <f>INDEX(MeritBonus!$L$9:$L$500,MATCH('Performance Summary'!A198,MeritBonus!$F$9:$F$500,0))</f>
        <v>11498</v>
      </c>
      <c r="D198" s="22" t="str">
        <f>INDEX(MeritBonus!$M$9:$M$500,MATCH('Performance Summary'!A198,MeritBonus!$F$9:$F$500,0))</f>
        <v>John Jaworski</v>
      </c>
      <c r="E198" s="22" t="str">
        <f>INDEX(MeritBonus!$J$9:$J$500,MATCH('Performance Summary'!A198,MeritBonus!$F$9:$F$500,0))</f>
        <v>East</v>
      </c>
      <c r="F198" s="22" t="str">
        <f>INDEX(MeritBonus!$N$9:$N$500,MATCH('Performance Summary'!A198,MeritBonus!$F$9:$F$500,0))</f>
        <v>Active</v>
      </c>
      <c r="G198" s="22" t="str">
        <f>INDEX(MeritBonus!$AG$9:$AG$500,MATCH('Performance Summary'!A198,MeritBonus!$F$9:$F$500,0))</f>
        <v>Meets</v>
      </c>
      <c r="H198" s="32" t="str">
        <f>INDEX(MeritBonus!$CV$9:$CV$500,MATCH('Performance Summary'!A198,MeritBonus!$F$9:$F$500,0))</f>
        <v>99485;36523</v>
      </c>
      <c r="I198" s="32" t="str">
        <f t="shared" si="20"/>
        <v/>
      </c>
      <c r="J198" s="32" t="str">
        <f t="shared" si="21"/>
        <v>Sherri Manzanares</v>
      </c>
      <c r="K198" s="32" t="str">
        <f t="shared" si="22"/>
        <v/>
      </c>
      <c r="L198" s="32" t="str">
        <f t="shared" si="23"/>
        <v/>
      </c>
      <c r="M198" s="1"/>
      <c r="N198" s="198" t="str">
        <f t="shared" si="19"/>
        <v>Show</v>
      </c>
      <c r="O198" s="1"/>
      <c r="P198" s="1"/>
      <c r="Q198" s="1"/>
      <c r="R198" s="1"/>
      <c r="S198" s="1"/>
      <c r="T198" s="1"/>
      <c r="U198" s="1"/>
      <c r="V198" s="98"/>
      <c r="W198" s="1"/>
      <c r="X198" s="1"/>
      <c r="Y198" s="1"/>
      <c r="Z198" s="1"/>
      <c r="AA198" s="1"/>
      <c r="AB198" s="1"/>
      <c r="AC198" s="1"/>
      <c r="AD198" s="1"/>
      <c r="AE198" s="1"/>
      <c r="AF198" s="98"/>
      <c r="AG198" s="1"/>
    </row>
    <row r="199" spans="1:33">
      <c r="A199" s="5">
        <v>27945</v>
      </c>
      <c r="B199" s="22" t="str">
        <f>INDEX(MeritBonus!$G$9:$G$500,MATCH('Performance Summary'!A199,MeritBonus!$F$9:$F$500,0))</f>
        <v>Raymond Cothran</v>
      </c>
      <c r="C199" s="22">
        <f>INDEX(MeritBonus!$L$9:$L$500,MATCH('Performance Summary'!A199,MeritBonus!$F$9:$F$500,0))</f>
        <v>11498</v>
      </c>
      <c r="D199" s="22" t="str">
        <f>INDEX(MeritBonus!$M$9:$M$500,MATCH('Performance Summary'!A199,MeritBonus!$F$9:$F$500,0))</f>
        <v>John Jaworski</v>
      </c>
      <c r="E199" s="22" t="str">
        <f>INDEX(MeritBonus!$J$9:$J$500,MATCH('Performance Summary'!A199,MeritBonus!$F$9:$F$500,0))</f>
        <v>East</v>
      </c>
      <c r="F199" s="22" t="str">
        <f>INDEX(MeritBonus!$N$9:$N$500,MATCH('Performance Summary'!A199,MeritBonus!$F$9:$F$500,0))</f>
        <v>Active</v>
      </c>
      <c r="G199" s="22" t="str">
        <f>INDEX(MeritBonus!$AG$9:$AG$500,MATCH('Performance Summary'!A199,MeritBonus!$F$9:$F$500,0))</f>
        <v>Meets</v>
      </c>
      <c r="H199" s="32" t="str">
        <f>INDEX(MeritBonus!$CV$9:$CV$500,MATCH('Performance Summary'!A199,MeritBonus!$F$9:$F$500,0))</f>
        <v>99485;36523</v>
      </c>
      <c r="I199" s="32" t="str">
        <f t="shared" si="20"/>
        <v/>
      </c>
      <c r="J199" s="32" t="str">
        <f t="shared" si="21"/>
        <v>Raymond Cothran</v>
      </c>
      <c r="K199" s="32" t="str">
        <f t="shared" si="22"/>
        <v/>
      </c>
      <c r="L199" s="32" t="str">
        <f t="shared" si="23"/>
        <v/>
      </c>
      <c r="M199" s="1"/>
      <c r="N199" s="198" t="str">
        <f t="shared" si="19"/>
        <v>Show</v>
      </c>
      <c r="O199" s="1"/>
      <c r="P199" s="1"/>
      <c r="Q199" s="1"/>
      <c r="R199" s="1"/>
      <c r="S199" s="1"/>
      <c r="T199" s="1"/>
      <c r="U199" s="1"/>
      <c r="V199" s="98"/>
      <c r="W199" s="1"/>
      <c r="X199" s="1"/>
      <c r="Y199" s="1"/>
      <c r="Z199" s="1"/>
      <c r="AA199" s="1"/>
      <c r="AB199" s="1"/>
      <c r="AC199" s="1"/>
      <c r="AD199" s="1"/>
      <c r="AE199" s="1"/>
      <c r="AF199" s="98"/>
      <c r="AG199" s="1"/>
    </row>
    <row r="200" spans="1:33">
      <c r="A200" s="5">
        <v>27950</v>
      </c>
      <c r="B200" s="22" t="str">
        <f>INDEX(MeritBonus!$G$9:$G$500,MATCH('Performance Summary'!A200,MeritBonus!$F$9:$F$500,0))</f>
        <v>Lydia Pepin</v>
      </c>
      <c r="C200" s="22">
        <f>INDEX(MeritBonus!$L$9:$L$500,MATCH('Performance Summary'!A200,MeritBonus!$F$9:$F$500,0))</f>
        <v>11498</v>
      </c>
      <c r="D200" s="22" t="str">
        <f>INDEX(MeritBonus!$M$9:$M$500,MATCH('Performance Summary'!A200,MeritBonus!$F$9:$F$500,0))</f>
        <v>John Jaworski</v>
      </c>
      <c r="E200" s="22" t="str">
        <f>INDEX(MeritBonus!$J$9:$J$500,MATCH('Performance Summary'!A200,MeritBonus!$F$9:$F$500,0))</f>
        <v>East</v>
      </c>
      <c r="F200" s="22" t="str">
        <f>INDEX(MeritBonus!$N$9:$N$500,MATCH('Performance Summary'!A200,MeritBonus!$F$9:$F$500,0))</f>
        <v>Active</v>
      </c>
      <c r="G200" s="22" t="str">
        <f>INDEX(MeritBonus!$AG$9:$AG$500,MATCH('Performance Summary'!A200,MeritBonus!$F$9:$F$500,0))</f>
        <v>Meets</v>
      </c>
      <c r="H200" s="32" t="str">
        <f>INDEX(MeritBonus!$CV$9:$CV$500,MATCH('Performance Summary'!A200,MeritBonus!$F$9:$F$500,0))</f>
        <v>99485;36523</v>
      </c>
      <c r="I200" s="32" t="str">
        <f t="shared" si="20"/>
        <v/>
      </c>
      <c r="J200" s="32" t="str">
        <f t="shared" si="21"/>
        <v>Lydia Pepin</v>
      </c>
      <c r="K200" s="32" t="str">
        <f t="shared" si="22"/>
        <v/>
      </c>
      <c r="L200" s="32" t="str">
        <f t="shared" si="23"/>
        <v/>
      </c>
      <c r="M200" s="1"/>
      <c r="N200" s="198" t="str">
        <f t="shared" si="19"/>
        <v>Show</v>
      </c>
      <c r="O200" s="1"/>
      <c r="P200" s="1"/>
      <c r="Q200" s="1"/>
      <c r="R200" s="1"/>
      <c r="S200" s="1"/>
      <c r="T200" s="1"/>
      <c r="U200" s="1"/>
      <c r="V200" s="98"/>
      <c r="W200" s="1"/>
      <c r="X200" s="1"/>
      <c r="Y200" s="1"/>
      <c r="Z200" s="1"/>
      <c r="AA200" s="1"/>
      <c r="AB200" s="1"/>
      <c r="AC200" s="1"/>
      <c r="AD200" s="1"/>
      <c r="AE200" s="1"/>
      <c r="AF200" s="98"/>
      <c r="AG200" s="1"/>
    </row>
    <row r="201" spans="1:33">
      <c r="A201" s="5">
        <v>28014</v>
      </c>
      <c r="B201" s="22" t="str">
        <f>INDEX(MeritBonus!$G$9:$G$500,MATCH('Performance Summary'!A201,MeritBonus!$F$9:$F$500,0))</f>
        <v>Terry Hair</v>
      </c>
      <c r="C201" s="22">
        <f>INDEX(MeritBonus!$L$9:$L$500,MATCH('Performance Summary'!A201,MeritBonus!$F$9:$F$500,0))</f>
        <v>11498</v>
      </c>
      <c r="D201" s="22" t="str">
        <f>INDEX(MeritBonus!$M$9:$M$500,MATCH('Performance Summary'!A201,MeritBonus!$F$9:$F$500,0))</f>
        <v>John Jaworski</v>
      </c>
      <c r="E201" s="22" t="str">
        <f>INDEX(MeritBonus!$J$9:$J$500,MATCH('Performance Summary'!A201,MeritBonus!$F$9:$F$500,0))</f>
        <v>East</v>
      </c>
      <c r="F201" s="22" t="str">
        <f>INDEX(MeritBonus!$N$9:$N$500,MATCH('Performance Summary'!A201,MeritBonus!$F$9:$F$500,0))</f>
        <v>Active</v>
      </c>
      <c r="G201" s="22" t="str">
        <f>INDEX(MeritBonus!$AG$9:$AG$500,MATCH('Performance Summary'!A201,MeritBonus!$F$9:$F$500,0))</f>
        <v>Meets</v>
      </c>
      <c r="H201" s="32" t="str">
        <f>INDEX(MeritBonus!$CV$9:$CV$500,MATCH('Performance Summary'!A201,MeritBonus!$F$9:$F$500,0))</f>
        <v>99485;36523</v>
      </c>
      <c r="I201" s="32" t="str">
        <f t="shared" si="20"/>
        <v/>
      </c>
      <c r="J201" s="32" t="str">
        <f t="shared" si="21"/>
        <v>Terry Hair</v>
      </c>
      <c r="K201" s="32" t="str">
        <f t="shared" si="22"/>
        <v/>
      </c>
      <c r="L201" s="32" t="str">
        <f t="shared" si="23"/>
        <v/>
      </c>
      <c r="M201" s="1"/>
      <c r="N201" s="198" t="str">
        <f t="shared" si="19"/>
        <v>Show</v>
      </c>
      <c r="O201" s="1"/>
      <c r="P201" s="1"/>
      <c r="Q201" s="1"/>
      <c r="R201" s="1"/>
      <c r="S201" s="1"/>
      <c r="T201" s="1"/>
      <c r="U201" s="1"/>
      <c r="V201" s="98"/>
      <c r="W201" s="1"/>
      <c r="X201" s="1"/>
      <c r="Y201" s="1"/>
      <c r="Z201" s="1"/>
      <c r="AA201" s="1"/>
      <c r="AB201" s="1"/>
      <c r="AC201" s="1"/>
      <c r="AD201" s="1"/>
      <c r="AE201" s="1"/>
      <c r="AF201" s="98"/>
      <c r="AG201" s="1"/>
    </row>
    <row r="202" spans="1:33">
      <c r="A202" s="5">
        <v>28178</v>
      </c>
      <c r="B202" s="22" t="str">
        <f>INDEX(MeritBonus!$G$9:$G$500,MATCH('Performance Summary'!A202,MeritBonus!$F$9:$F$500,0))</f>
        <v>Maxine Lehmann</v>
      </c>
      <c r="C202" s="22">
        <f>INDEX(MeritBonus!$L$9:$L$500,MATCH('Performance Summary'!A202,MeritBonus!$F$9:$F$500,0))</f>
        <v>29342</v>
      </c>
      <c r="D202" s="22" t="str">
        <f>INDEX(MeritBonus!$M$9:$M$500,MATCH('Performance Summary'!A202,MeritBonus!$F$9:$F$500,0))</f>
        <v>Steven Van</v>
      </c>
      <c r="E202" s="22" t="str">
        <f>INDEX(MeritBonus!$J$9:$J$500,MATCH('Performance Summary'!A202,MeritBonus!$F$9:$F$500,0))</f>
        <v>East</v>
      </c>
      <c r="F202" s="22" t="str">
        <f>INDEX(MeritBonus!$N$9:$N$500,MATCH('Performance Summary'!A202,MeritBonus!$F$9:$F$500,0))</f>
        <v>Active</v>
      </c>
      <c r="G202" s="22" t="str">
        <f>INDEX(MeritBonus!$AG$9:$AG$500,MATCH('Performance Summary'!A202,MeritBonus!$F$9:$F$500,0))</f>
        <v>Exceeds</v>
      </c>
      <c r="H202" s="32" t="str">
        <f>INDEX(MeritBonus!$CV$9:$CV$500,MATCH('Performance Summary'!A202,MeritBonus!$F$9:$F$500,0))</f>
        <v>67890;86672</v>
      </c>
      <c r="I202" s="32" t="str">
        <f t="shared" si="20"/>
        <v>Maxine Lehmann</v>
      </c>
      <c r="J202" s="32" t="str">
        <f t="shared" si="21"/>
        <v/>
      </c>
      <c r="K202" s="32" t="str">
        <f t="shared" si="22"/>
        <v/>
      </c>
      <c r="L202" s="32" t="str">
        <f t="shared" si="23"/>
        <v/>
      </c>
      <c r="M202" s="1"/>
      <c r="N202" s="198" t="str">
        <f t="shared" si="19"/>
        <v>Show</v>
      </c>
      <c r="O202" s="1"/>
      <c r="P202" s="1"/>
      <c r="Q202" s="1"/>
      <c r="R202" s="1"/>
      <c r="S202" s="1"/>
      <c r="T202" s="1"/>
      <c r="U202" s="1"/>
      <c r="V202" s="98"/>
      <c r="W202" s="1"/>
      <c r="X202" s="1"/>
      <c r="Y202" s="1"/>
      <c r="Z202" s="1"/>
      <c r="AA202" s="1"/>
      <c r="AB202" s="1"/>
      <c r="AC202" s="1"/>
      <c r="AD202" s="1"/>
      <c r="AE202" s="1"/>
      <c r="AF202" s="98"/>
      <c r="AG202" s="1"/>
    </row>
    <row r="203" spans="1:33">
      <c r="A203" s="5">
        <v>28379</v>
      </c>
      <c r="B203" s="22" t="str">
        <f>INDEX(MeritBonus!$G$9:$G$500,MATCH('Performance Summary'!A203,MeritBonus!$F$9:$F$500,0))</f>
        <v>Eric Durst</v>
      </c>
      <c r="C203" s="22">
        <f>INDEX(MeritBonus!$L$9:$L$500,MATCH('Performance Summary'!A203,MeritBonus!$F$9:$F$500,0))</f>
        <v>11498</v>
      </c>
      <c r="D203" s="22" t="str">
        <f>INDEX(MeritBonus!$M$9:$M$500,MATCH('Performance Summary'!A203,MeritBonus!$F$9:$F$500,0))</f>
        <v>John Jaworski</v>
      </c>
      <c r="E203" s="22" t="str">
        <f>INDEX(MeritBonus!$J$9:$J$500,MATCH('Performance Summary'!A203,MeritBonus!$F$9:$F$500,0))</f>
        <v>East</v>
      </c>
      <c r="F203" s="22" t="str">
        <f>INDEX(MeritBonus!$N$9:$N$500,MATCH('Performance Summary'!A203,MeritBonus!$F$9:$F$500,0))</f>
        <v>Active</v>
      </c>
      <c r="G203" s="22" t="str">
        <f>INDEX(MeritBonus!$AG$9:$AG$500,MATCH('Performance Summary'!A203,MeritBonus!$F$9:$F$500,0))</f>
        <v>Exceeds</v>
      </c>
      <c r="H203" s="32" t="str">
        <f>INDEX(MeritBonus!$CV$9:$CV$500,MATCH('Performance Summary'!A203,MeritBonus!$F$9:$F$500,0))</f>
        <v>99485;36523</v>
      </c>
      <c r="I203" s="32" t="str">
        <f t="shared" si="20"/>
        <v>Eric Durst</v>
      </c>
      <c r="J203" s="32" t="str">
        <f t="shared" si="21"/>
        <v/>
      </c>
      <c r="K203" s="32" t="str">
        <f t="shared" si="22"/>
        <v/>
      </c>
      <c r="L203" s="32" t="str">
        <f t="shared" si="23"/>
        <v/>
      </c>
      <c r="M203" s="1"/>
      <c r="N203" s="198" t="str">
        <f t="shared" si="19"/>
        <v>Show</v>
      </c>
      <c r="O203" s="1"/>
      <c r="P203" s="1"/>
      <c r="Q203" s="1"/>
      <c r="R203" s="1"/>
      <c r="S203" s="1"/>
      <c r="T203" s="1"/>
      <c r="U203" s="1"/>
      <c r="V203" s="98"/>
      <c r="W203" s="1"/>
      <c r="X203" s="1"/>
      <c r="Y203" s="1"/>
      <c r="Z203" s="1"/>
      <c r="AA203" s="1"/>
      <c r="AB203" s="1"/>
      <c r="AC203" s="1"/>
      <c r="AD203" s="1"/>
      <c r="AE203" s="1"/>
      <c r="AF203" s="98"/>
      <c r="AG203" s="1"/>
    </row>
    <row r="204" spans="1:33">
      <c r="A204" s="5">
        <v>28380</v>
      </c>
      <c r="B204" s="22" t="str">
        <f>INDEX(MeritBonus!$G$9:$G$500,MATCH('Performance Summary'!A204,MeritBonus!$F$9:$F$500,0))</f>
        <v>Monique Fecteau</v>
      </c>
      <c r="C204" s="22">
        <f>INDEX(MeritBonus!$L$9:$L$500,MATCH('Performance Summary'!A204,MeritBonus!$F$9:$F$500,0))</f>
        <v>11498</v>
      </c>
      <c r="D204" s="22" t="str">
        <f>INDEX(MeritBonus!$M$9:$M$500,MATCH('Performance Summary'!A204,MeritBonus!$F$9:$F$500,0))</f>
        <v>John Jaworski</v>
      </c>
      <c r="E204" s="22" t="str">
        <f>INDEX(MeritBonus!$J$9:$J$500,MATCH('Performance Summary'!A204,MeritBonus!$F$9:$F$500,0))</f>
        <v>East</v>
      </c>
      <c r="F204" s="22" t="str">
        <f>INDEX(MeritBonus!$N$9:$N$500,MATCH('Performance Summary'!A204,MeritBonus!$F$9:$F$500,0))</f>
        <v>Active</v>
      </c>
      <c r="G204" s="22" t="str">
        <f>INDEX(MeritBonus!$AG$9:$AG$500,MATCH('Performance Summary'!A204,MeritBonus!$F$9:$F$500,0))</f>
        <v>Meets</v>
      </c>
      <c r="H204" s="32" t="str">
        <f>INDEX(MeritBonus!$CV$9:$CV$500,MATCH('Performance Summary'!A204,MeritBonus!$F$9:$F$500,0))</f>
        <v>99485;36523</v>
      </c>
      <c r="I204" s="32" t="str">
        <f t="shared" si="20"/>
        <v/>
      </c>
      <c r="J204" s="32" t="str">
        <f t="shared" si="21"/>
        <v>Monique Fecteau</v>
      </c>
      <c r="K204" s="32" t="str">
        <f t="shared" si="22"/>
        <v/>
      </c>
      <c r="L204" s="32" t="str">
        <f t="shared" si="23"/>
        <v/>
      </c>
      <c r="M204" s="1"/>
      <c r="N204" s="198" t="str">
        <f t="shared" si="19"/>
        <v>Show</v>
      </c>
      <c r="O204" s="1"/>
      <c r="P204" s="1"/>
      <c r="Q204" s="1"/>
      <c r="R204" s="1"/>
      <c r="S204" s="1"/>
      <c r="T204" s="1"/>
      <c r="U204" s="1"/>
      <c r="V204" s="98"/>
      <c r="W204" s="1"/>
      <c r="X204" s="1"/>
      <c r="Y204" s="1"/>
      <c r="Z204" s="1"/>
      <c r="AA204" s="1"/>
      <c r="AB204" s="1"/>
      <c r="AC204" s="1"/>
      <c r="AD204" s="1"/>
      <c r="AE204" s="1"/>
      <c r="AF204" s="98"/>
      <c r="AG204" s="1"/>
    </row>
    <row r="205" spans="1:33">
      <c r="A205" s="5">
        <v>28756</v>
      </c>
      <c r="B205" s="22" t="str">
        <f>INDEX(MeritBonus!$G$9:$G$500,MATCH('Performance Summary'!A205,MeritBonus!$F$9:$F$500,0))</f>
        <v>Vincent Cole</v>
      </c>
      <c r="C205" s="22">
        <f>INDEX(MeritBonus!$L$9:$L$500,MATCH('Performance Summary'!A205,MeritBonus!$F$9:$F$500,0))</f>
        <v>11498</v>
      </c>
      <c r="D205" s="22" t="str">
        <f>INDEX(MeritBonus!$M$9:$M$500,MATCH('Performance Summary'!A205,MeritBonus!$F$9:$F$500,0))</f>
        <v>John Jaworski</v>
      </c>
      <c r="E205" s="22" t="str">
        <f>INDEX(MeritBonus!$J$9:$J$500,MATCH('Performance Summary'!A205,MeritBonus!$F$9:$F$500,0))</f>
        <v>East</v>
      </c>
      <c r="F205" s="22" t="str">
        <f>INDEX(MeritBonus!$N$9:$N$500,MATCH('Performance Summary'!A205,MeritBonus!$F$9:$F$500,0))</f>
        <v>Active</v>
      </c>
      <c r="G205" s="22" t="str">
        <f>INDEX(MeritBonus!$AG$9:$AG$500,MATCH('Performance Summary'!A205,MeritBonus!$F$9:$F$500,0))</f>
        <v>Meets</v>
      </c>
      <c r="H205" s="32" t="str">
        <f>INDEX(MeritBonus!$CV$9:$CV$500,MATCH('Performance Summary'!A205,MeritBonus!$F$9:$F$500,0))</f>
        <v>99485;36523</v>
      </c>
      <c r="I205" s="32" t="str">
        <f t="shared" si="20"/>
        <v/>
      </c>
      <c r="J205" s="32" t="str">
        <f t="shared" si="21"/>
        <v>Vincent Cole</v>
      </c>
      <c r="K205" s="32" t="str">
        <f t="shared" si="22"/>
        <v/>
      </c>
      <c r="L205" s="32" t="str">
        <f t="shared" si="23"/>
        <v/>
      </c>
      <c r="M205" s="1"/>
      <c r="N205" s="198" t="str">
        <f t="shared" si="19"/>
        <v>Show</v>
      </c>
      <c r="O205" s="1"/>
      <c r="P205" s="1"/>
      <c r="Q205" s="1"/>
      <c r="R205" s="1"/>
      <c r="S205" s="1"/>
      <c r="T205" s="1"/>
      <c r="U205" s="1"/>
      <c r="V205" s="98"/>
      <c r="W205" s="1"/>
      <c r="X205" s="1"/>
      <c r="Y205" s="1"/>
      <c r="Z205" s="1"/>
      <c r="AA205" s="1"/>
      <c r="AB205" s="1"/>
      <c r="AC205" s="1"/>
      <c r="AD205" s="1"/>
      <c r="AE205" s="1"/>
      <c r="AF205" s="98"/>
      <c r="AG205" s="1"/>
    </row>
    <row r="206" spans="1:33">
      <c r="A206" s="5">
        <v>28810</v>
      </c>
      <c r="B206" s="22" t="str">
        <f>INDEX(MeritBonus!$G$9:$G$500,MATCH('Performance Summary'!A206,MeritBonus!$F$9:$F$500,0))</f>
        <v>Nicholas Harlan</v>
      </c>
      <c r="C206" s="22">
        <f>INDEX(MeritBonus!$L$9:$L$500,MATCH('Performance Summary'!A206,MeritBonus!$F$9:$F$500,0))</f>
        <v>11351</v>
      </c>
      <c r="D206" s="22" t="str">
        <f>INDEX(MeritBonus!$M$9:$M$500,MATCH('Performance Summary'!A206,MeritBonus!$F$9:$F$500,0))</f>
        <v>Allison Felton</v>
      </c>
      <c r="E206" s="22" t="str">
        <f>INDEX(MeritBonus!$J$9:$J$500,MATCH('Performance Summary'!A206,MeritBonus!$F$9:$F$500,0))</f>
        <v>East</v>
      </c>
      <c r="F206" s="22" t="str">
        <f>INDEX(MeritBonus!$N$9:$N$500,MATCH('Performance Summary'!A206,MeritBonus!$F$9:$F$500,0))</f>
        <v>Active</v>
      </c>
      <c r="G206" s="22" t="str">
        <f>INDEX(MeritBonus!$AG$9:$AG$500,MATCH('Performance Summary'!A206,MeritBonus!$F$9:$F$500,0))</f>
        <v>Exceeds</v>
      </c>
      <c r="H206" s="32" t="str">
        <f>INDEX(MeritBonus!$CV$9:$CV$500,MATCH('Performance Summary'!A206,MeritBonus!$F$9:$F$500,0))</f>
        <v>90876;99485</v>
      </c>
      <c r="I206" s="32" t="str">
        <f t="shared" si="20"/>
        <v>Nicholas Harlan</v>
      </c>
      <c r="J206" s="32" t="str">
        <f t="shared" si="21"/>
        <v/>
      </c>
      <c r="K206" s="32" t="str">
        <f t="shared" si="22"/>
        <v/>
      </c>
      <c r="L206" s="32" t="str">
        <f t="shared" si="23"/>
        <v/>
      </c>
      <c r="M206" s="1"/>
      <c r="N206" s="198" t="str">
        <f t="shared" si="19"/>
        <v>Show</v>
      </c>
      <c r="O206" s="1"/>
      <c r="P206" s="1"/>
      <c r="Q206" s="1"/>
      <c r="R206" s="1"/>
      <c r="S206" s="1"/>
      <c r="T206" s="1"/>
      <c r="U206" s="1"/>
      <c r="V206" s="98"/>
      <c r="W206" s="1"/>
      <c r="X206" s="1"/>
      <c r="Y206" s="1"/>
      <c r="Z206" s="1"/>
      <c r="AA206" s="1"/>
      <c r="AB206" s="1"/>
      <c r="AC206" s="1"/>
      <c r="AD206" s="1"/>
      <c r="AE206" s="1"/>
      <c r="AF206" s="98"/>
      <c r="AG206" s="1"/>
    </row>
    <row r="207" spans="1:33">
      <c r="A207" s="5">
        <v>28918</v>
      </c>
      <c r="B207" s="22" t="str">
        <f>INDEX(MeritBonus!$G$9:$G$500,MATCH('Performance Summary'!A207,MeritBonus!$F$9:$F$500,0))</f>
        <v>Tonya Coronado</v>
      </c>
      <c r="C207" s="22">
        <f>INDEX(MeritBonus!$L$9:$L$500,MATCH('Performance Summary'!A207,MeritBonus!$F$9:$F$500,0))</f>
        <v>11498</v>
      </c>
      <c r="D207" s="22" t="str">
        <f>INDEX(MeritBonus!$M$9:$M$500,MATCH('Performance Summary'!A207,MeritBonus!$F$9:$F$500,0))</f>
        <v>John Jaworski</v>
      </c>
      <c r="E207" s="22" t="str">
        <f>INDEX(MeritBonus!$J$9:$J$500,MATCH('Performance Summary'!A207,MeritBonus!$F$9:$F$500,0))</f>
        <v>East</v>
      </c>
      <c r="F207" s="22" t="str">
        <f>INDEX(MeritBonus!$N$9:$N$500,MATCH('Performance Summary'!A207,MeritBonus!$F$9:$F$500,0))</f>
        <v>Active</v>
      </c>
      <c r="G207" s="22" t="str">
        <f>INDEX(MeritBonus!$AG$9:$AG$500,MATCH('Performance Summary'!A207,MeritBonus!$F$9:$F$500,0))</f>
        <v>Meets</v>
      </c>
      <c r="H207" s="32" t="str">
        <f>INDEX(MeritBonus!$CV$9:$CV$500,MATCH('Performance Summary'!A207,MeritBonus!$F$9:$F$500,0))</f>
        <v>99485;36523</v>
      </c>
      <c r="I207" s="32" t="str">
        <f t="shared" si="20"/>
        <v/>
      </c>
      <c r="J207" s="32" t="str">
        <f t="shared" si="21"/>
        <v>Tonya Coronado</v>
      </c>
      <c r="K207" s="32" t="str">
        <f t="shared" si="22"/>
        <v/>
      </c>
      <c r="L207" s="32" t="str">
        <f t="shared" si="23"/>
        <v/>
      </c>
      <c r="M207" s="1"/>
      <c r="N207" s="198" t="str">
        <f t="shared" si="19"/>
        <v>Show</v>
      </c>
      <c r="O207" s="1"/>
      <c r="P207" s="1"/>
      <c r="Q207" s="1"/>
      <c r="R207" s="1"/>
      <c r="S207" s="1"/>
      <c r="T207" s="1"/>
      <c r="U207" s="1"/>
      <c r="V207" s="98"/>
      <c r="W207" s="1"/>
      <c r="X207" s="1"/>
      <c r="Y207" s="1"/>
      <c r="Z207" s="1"/>
      <c r="AA207" s="1"/>
      <c r="AB207" s="1"/>
      <c r="AC207" s="1"/>
      <c r="AD207" s="1"/>
      <c r="AE207" s="1"/>
      <c r="AF207" s="98"/>
      <c r="AG207" s="1"/>
    </row>
    <row r="208" spans="1:33">
      <c r="A208" s="5">
        <v>28953</v>
      </c>
      <c r="B208" s="22" t="str">
        <f>INDEX(MeritBonus!$G$9:$G$500,MATCH('Performance Summary'!A208,MeritBonus!$F$9:$F$500,0))</f>
        <v>Harold Jeffries</v>
      </c>
      <c r="C208" s="22">
        <f>INDEX(MeritBonus!$L$9:$L$500,MATCH('Performance Summary'!A208,MeritBonus!$F$9:$F$500,0))</f>
        <v>11351</v>
      </c>
      <c r="D208" s="22" t="str">
        <f>INDEX(MeritBonus!$M$9:$M$500,MATCH('Performance Summary'!A208,MeritBonus!$F$9:$F$500,0))</f>
        <v>Allison Felton</v>
      </c>
      <c r="E208" s="22" t="str">
        <f>INDEX(MeritBonus!$J$9:$J$500,MATCH('Performance Summary'!A208,MeritBonus!$F$9:$F$500,0))</f>
        <v>East</v>
      </c>
      <c r="F208" s="22" t="str">
        <f>INDEX(MeritBonus!$N$9:$N$500,MATCH('Performance Summary'!A208,MeritBonus!$F$9:$F$500,0))</f>
        <v>Active</v>
      </c>
      <c r="G208" s="22" t="str">
        <f>INDEX(MeritBonus!$AG$9:$AG$500,MATCH('Performance Summary'!A208,MeritBonus!$F$9:$F$500,0))</f>
        <v>Below</v>
      </c>
      <c r="H208" s="32" t="str">
        <f>INDEX(MeritBonus!$CV$9:$CV$500,MATCH('Performance Summary'!A208,MeritBonus!$F$9:$F$500,0))</f>
        <v>90876;99485</v>
      </c>
      <c r="I208" s="32" t="str">
        <f t="shared" si="20"/>
        <v/>
      </c>
      <c r="J208" s="32" t="str">
        <f t="shared" si="21"/>
        <v/>
      </c>
      <c r="K208" s="32" t="str">
        <f t="shared" si="22"/>
        <v>Harold Jeffries</v>
      </c>
      <c r="L208" s="32" t="str">
        <f t="shared" si="23"/>
        <v/>
      </c>
      <c r="M208" s="1"/>
      <c r="N208" s="198" t="str">
        <f t="shared" si="19"/>
        <v>Show</v>
      </c>
      <c r="O208" s="1"/>
      <c r="P208" s="1"/>
      <c r="Q208" s="1"/>
      <c r="R208" s="1"/>
      <c r="S208" s="1"/>
      <c r="T208" s="1"/>
      <c r="U208" s="1"/>
      <c r="V208" s="98"/>
      <c r="W208" s="1"/>
      <c r="X208" s="1"/>
      <c r="Y208" s="1"/>
      <c r="Z208" s="1"/>
      <c r="AA208" s="1"/>
      <c r="AB208" s="1"/>
      <c r="AC208" s="1"/>
      <c r="AD208" s="1"/>
      <c r="AE208" s="1"/>
      <c r="AF208" s="98"/>
      <c r="AG208" s="1"/>
    </row>
    <row r="209" spans="1:33">
      <c r="A209" s="5">
        <v>29269</v>
      </c>
      <c r="B209" s="22" t="str">
        <f>INDEX(MeritBonus!$G$9:$G$500,MATCH('Performance Summary'!A209,MeritBonus!$F$9:$F$500,0))</f>
        <v>Leonard Schell</v>
      </c>
      <c r="C209" s="22">
        <f>INDEX(MeritBonus!$L$9:$L$500,MATCH('Performance Summary'!A209,MeritBonus!$F$9:$F$500,0))</f>
        <v>29271</v>
      </c>
      <c r="D209" s="22" t="str">
        <f>INDEX(MeritBonus!$M$9:$M$500,MATCH('Performance Summary'!A209,MeritBonus!$F$9:$F$500,0))</f>
        <v>Eugene Coe</v>
      </c>
      <c r="E209" s="22" t="str">
        <f>INDEX(MeritBonus!$J$9:$J$500,MATCH('Performance Summary'!A209,MeritBonus!$F$9:$F$500,0))</f>
        <v>West</v>
      </c>
      <c r="F209" s="22" t="str">
        <f>INDEX(MeritBonus!$N$9:$N$500,MATCH('Performance Summary'!A209,MeritBonus!$F$9:$F$500,0))</f>
        <v>Active</v>
      </c>
      <c r="G209" s="22" t="str">
        <f>INDEX(MeritBonus!$AG$9:$AG$500,MATCH('Performance Summary'!A209,MeritBonus!$F$9:$F$500,0))</f>
        <v>Meets</v>
      </c>
      <c r="H209" s="32" t="str">
        <f>INDEX(MeritBonus!$CV$9:$CV$500,MATCH('Performance Summary'!A209,MeritBonus!$F$9:$F$500,0))</f>
        <v>86672;36523</v>
      </c>
      <c r="I209" s="32" t="str">
        <f t="shared" si="20"/>
        <v/>
      </c>
      <c r="J209" s="32" t="str">
        <f t="shared" si="21"/>
        <v>Leonard Schell</v>
      </c>
      <c r="K209" s="32" t="str">
        <f t="shared" si="22"/>
        <v/>
      </c>
      <c r="L209" s="32" t="str">
        <f t="shared" si="23"/>
        <v/>
      </c>
      <c r="M209" s="1"/>
      <c r="N209" s="198" t="str">
        <f t="shared" si="19"/>
        <v>Show</v>
      </c>
      <c r="O209" s="1"/>
      <c r="P209" s="1"/>
      <c r="Q209" s="1"/>
      <c r="R209" s="1"/>
      <c r="S209" s="1"/>
      <c r="T209" s="1"/>
      <c r="U209" s="1"/>
      <c r="V209" s="98"/>
      <c r="W209" s="1"/>
      <c r="X209" s="1"/>
      <c r="Y209" s="1"/>
      <c r="Z209" s="1"/>
      <c r="AA209" s="1"/>
      <c r="AB209" s="1"/>
      <c r="AC209" s="1"/>
      <c r="AD209" s="1"/>
      <c r="AE209" s="1"/>
      <c r="AF209" s="98"/>
      <c r="AG209" s="1"/>
    </row>
    <row r="210" spans="1:33">
      <c r="A210" s="5">
        <v>29271</v>
      </c>
      <c r="B210" s="22" t="str">
        <f>INDEX(MeritBonus!$G$9:$G$500,MATCH('Performance Summary'!A210,MeritBonus!$F$9:$F$500,0))</f>
        <v>Eugene Coe</v>
      </c>
      <c r="C210" s="22">
        <f>INDEX(MeritBonus!$L$9:$L$500,MATCH('Performance Summary'!A210,MeritBonus!$F$9:$F$500,0))</f>
        <v>4569</v>
      </c>
      <c r="D210" s="22" t="str">
        <f>INDEX(MeritBonus!$M$9:$M$500,MATCH('Performance Summary'!A210,MeritBonus!$F$9:$F$500,0))</f>
        <v>Gina Hernandez</v>
      </c>
      <c r="E210" s="22" t="str">
        <f>INDEX(MeritBonus!$J$9:$J$500,MATCH('Performance Summary'!A210,MeritBonus!$F$9:$F$500,0))</f>
        <v>West</v>
      </c>
      <c r="F210" s="22" t="str">
        <f>INDEX(MeritBonus!$N$9:$N$500,MATCH('Performance Summary'!A210,MeritBonus!$F$9:$F$500,0))</f>
        <v>Active</v>
      </c>
      <c r="G210" s="22" t="str">
        <f>INDEX(MeritBonus!$AG$9:$AG$500,MATCH('Performance Summary'!A210,MeritBonus!$F$9:$F$500,0))</f>
        <v>Exceeds</v>
      </c>
      <c r="H210" s="32" t="str">
        <f>INDEX(MeritBonus!$CV$9:$CV$500,MATCH('Performance Summary'!A210,MeritBonus!$F$9:$F$500,0))</f>
        <v>86672;36523</v>
      </c>
      <c r="I210" s="32" t="str">
        <f t="shared" si="20"/>
        <v>Eugene Coe</v>
      </c>
      <c r="J210" s="32" t="str">
        <f t="shared" si="21"/>
        <v/>
      </c>
      <c r="K210" s="32" t="str">
        <f t="shared" si="22"/>
        <v/>
      </c>
      <c r="L210" s="32" t="str">
        <f t="shared" si="23"/>
        <v/>
      </c>
      <c r="M210" s="1"/>
      <c r="N210" s="198" t="str">
        <f t="shared" si="19"/>
        <v>Show</v>
      </c>
      <c r="O210" s="1"/>
      <c r="P210" s="1"/>
      <c r="Q210" s="1"/>
      <c r="R210" s="1"/>
      <c r="S210" s="1"/>
      <c r="T210" s="1"/>
      <c r="U210" s="1"/>
      <c r="V210" s="98"/>
      <c r="W210" s="1"/>
      <c r="X210" s="1"/>
      <c r="Y210" s="1"/>
      <c r="Z210" s="1"/>
      <c r="AA210" s="1"/>
      <c r="AB210" s="1"/>
      <c r="AC210" s="1"/>
      <c r="AD210" s="1"/>
      <c r="AE210" s="1"/>
      <c r="AF210" s="98"/>
      <c r="AG210" s="1"/>
    </row>
    <row r="211" spans="1:33">
      <c r="A211" s="5">
        <v>29326</v>
      </c>
      <c r="B211" s="22" t="str">
        <f>INDEX(MeritBonus!$G$9:$G$500,MATCH('Performance Summary'!A211,MeritBonus!$F$9:$F$500,0))</f>
        <v>Maxine Mceachern</v>
      </c>
      <c r="C211" s="22">
        <f>INDEX(MeritBonus!$L$9:$L$500,MATCH('Performance Summary'!A211,MeritBonus!$F$9:$F$500,0))</f>
        <v>29271</v>
      </c>
      <c r="D211" s="22" t="str">
        <f>INDEX(MeritBonus!$M$9:$M$500,MATCH('Performance Summary'!A211,MeritBonus!$F$9:$F$500,0))</f>
        <v>Eugene Coe</v>
      </c>
      <c r="E211" s="22" t="str">
        <f>INDEX(MeritBonus!$J$9:$J$500,MATCH('Performance Summary'!A211,MeritBonus!$F$9:$F$500,0))</f>
        <v>Midwest</v>
      </c>
      <c r="F211" s="22" t="str">
        <f>INDEX(MeritBonus!$N$9:$N$500,MATCH('Performance Summary'!A211,MeritBonus!$F$9:$F$500,0))</f>
        <v>Active</v>
      </c>
      <c r="G211" s="22" t="str">
        <f>INDEX(MeritBonus!$AG$9:$AG$500,MATCH('Performance Summary'!A211,MeritBonus!$F$9:$F$500,0))</f>
        <v>Meets</v>
      </c>
      <c r="H211" s="32" t="str">
        <f>INDEX(MeritBonus!$CV$9:$CV$500,MATCH('Performance Summary'!A211,MeritBonus!$F$9:$F$500,0))</f>
        <v>86672;36523</v>
      </c>
      <c r="I211" s="32" t="str">
        <f t="shared" si="20"/>
        <v/>
      </c>
      <c r="J211" s="32" t="str">
        <f t="shared" si="21"/>
        <v>Maxine Mceachern</v>
      </c>
      <c r="K211" s="32" t="str">
        <f t="shared" si="22"/>
        <v/>
      </c>
      <c r="L211" s="32" t="str">
        <f t="shared" si="23"/>
        <v/>
      </c>
      <c r="M211" s="1"/>
      <c r="N211" s="198" t="str">
        <f t="shared" si="19"/>
        <v>Show</v>
      </c>
      <c r="O211" s="1"/>
      <c r="P211" s="1"/>
      <c r="Q211" s="1"/>
      <c r="R211" s="1"/>
      <c r="S211" s="1"/>
      <c r="T211" s="1"/>
      <c r="U211" s="1"/>
      <c r="V211" s="98"/>
      <c r="W211" s="1"/>
      <c r="X211" s="1"/>
      <c r="Y211" s="1"/>
      <c r="Z211" s="1"/>
      <c r="AA211" s="1"/>
      <c r="AB211" s="1"/>
      <c r="AC211" s="1"/>
      <c r="AD211" s="1"/>
      <c r="AE211" s="1"/>
      <c r="AF211" s="98"/>
      <c r="AG211" s="1"/>
    </row>
    <row r="212" spans="1:33">
      <c r="A212" s="5">
        <v>29331</v>
      </c>
      <c r="B212" s="22" t="str">
        <f>INDEX(MeritBonus!$G$9:$G$500,MATCH('Performance Summary'!A212,MeritBonus!$F$9:$F$500,0))</f>
        <v>Jack Falkner</v>
      </c>
      <c r="C212" s="22">
        <f>INDEX(MeritBonus!$L$9:$L$500,MATCH('Performance Summary'!A212,MeritBonus!$F$9:$F$500,0))</f>
        <v>29271</v>
      </c>
      <c r="D212" s="22" t="str">
        <f>INDEX(MeritBonus!$M$9:$M$500,MATCH('Performance Summary'!A212,MeritBonus!$F$9:$F$500,0))</f>
        <v>Eugene Coe</v>
      </c>
      <c r="E212" s="22" t="str">
        <f>INDEX(MeritBonus!$J$9:$J$500,MATCH('Performance Summary'!A212,MeritBonus!$F$9:$F$500,0))</f>
        <v>Midwest</v>
      </c>
      <c r="F212" s="22" t="str">
        <f>INDEX(MeritBonus!$N$9:$N$500,MATCH('Performance Summary'!A212,MeritBonus!$F$9:$F$500,0))</f>
        <v>Active</v>
      </c>
      <c r="G212" s="22" t="str">
        <f>INDEX(MeritBonus!$AG$9:$AG$500,MATCH('Performance Summary'!A212,MeritBonus!$F$9:$F$500,0))</f>
        <v>Exceeds</v>
      </c>
      <c r="H212" s="32" t="str">
        <f>INDEX(MeritBonus!$CV$9:$CV$500,MATCH('Performance Summary'!A212,MeritBonus!$F$9:$F$500,0))</f>
        <v>86672;36523</v>
      </c>
      <c r="I212" s="32" t="str">
        <f t="shared" si="20"/>
        <v>Jack Falkner</v>
      </c>
      <c r="J212" s="32" t="str">
        <f t="shared" si="21"/>
        <v/>
      </c>
      <c r="K212" s="32" t="str">
        <f t="shared" si="22"/>
        <v/>
      </c>
      <c r="L212" s="32" t="str">
        <f t="shared" si="23"/>
        <v/>
      </c>
      <c r="M212" s="1"/>
      <c r="N212" s="198" t="str">
        <f t="shared" si="19"/>
        <v>Show</v>
      </c>
      <c r="O212" s="1"/>
      <c r="P212" s="1"/>
      <c r="Q212" s="1"/>
      <c r="R212" s="1"/>
      <c r="S212" s="1"/>
      <c r="T212" s="1"/>
      <c r="U212" s="1"/>
      <c r="V212" s="98"/>
      <c r="W212" s="1"/>
      <c r="X212" s="1"/>
      <c r="Y212" s="1"/>
      <c r="Z212" s="1"/>
      <c r="AA212" s="1"/>
      <c r="AB212" s="1"/>
      <c r="AC212" s="1"/>
      <c r="AD212" s="1"/>
      <c r="AE212" s="1"/>
      <c r="AF212" s="98"/>
      <c r="AG212" s="1"/>
    </row>
    <row r="213" spans="1:33">
      <c r="A213" s="5">
        <v>29342</v>
      </c>
      <c r="B213" s="22" t="str">
        <f>INDEX(MeritBonus!$G$9:$G$500,MATCH('Performance Summary'!A213,MeritBonus!$F$9:$F$500,0))</f>
        <v>Steven Van</v>
      </c>
      <c r="C213" s="22">
        <f>INDEX(MeritBonus!$L$9:$L$500,MATCH('Performance Summary'!A213,MeritBonus!$F$9:$F$500,0))</f>
        <v>29271</v>
      </c>
      <c r="D213" s="22" t="str">
        <f>INDEX(MeritBonus!$M$9:$M$500,MATCH('Performance Summary'!A213,MeritBonus!$F$9:$F$500,0))</f>
        <v>Eugene Coe</v>
      </c>
      <c r="E213" s="22" t="str">
        <f>INDEX(MeritBonus!$J$9:$J$500,MATCH('Performance Summary'!A213,MeritBonus!$F$9:$F$500,0))</f>
        <v>Midwest</v>
      </c>
      <c r="F213" s="22" t="str">
        <f>INDEX(MeritBonus!$N$9:$N$500,MATCH('Performance Summary'!A213,MeritBonus!$F$9:$F$500,0))</f>
        <v>Active</v>
      </c>
      <c r="G213" s="22" t="str">
        <f>INDEX(MeritBonus!$AG$9:$AG$500,MATCH('Performance Summary'!A213,MeritBonus!$F$9:$F$500,0))</f>
        <v>Below</v>
      </c>
      <c r="H213" s="32" t="str">
        <f>INDEX(MeritBonus!$CV$9:$CV$500,MATCH('Performance Summary'!A213,MeritBonus!$F$9:$F$500,0))</f>
        <v>86672;36523</v>
      </c>
      <c r="I213" s="32" t="str">
        <f t="shared" si="20"/>
        <v/>
      </c>
      <c r="J213" s="32" t="str">
        <f t="shared" si="21"/>
        <v/>
      </c>
      <c r="K213" s="32" t="str">
        <f t="shared" si="22"/>
        <v>Steven Van</v>
      </c>
      <c r="L213" s="32" t="str">
        <f t="shared" si="23"/>
        <v/>
      </c>
      <c r="M213" s="1"/>
      <c r="N213" s="198" t="str">
        <f t="shared" si="19"/>
        <v>Show</v>
      </c>
      <c r="O213" s="1"/>
      <c r="P213" s="1"/>
      <c r="Q213" s="1"/>
      <c r="R213" s="1"/>
      <c r="S213" s="1"/>
      <c r="T213" s="1"/>
      <c r="U213" s="1"/>
      <c r="V213" s="98"/>
      <c r="W213" s="1"/>
      <c r="X213" s="1"/>
      <c r="Y213" s="1"/>
      <c r="Z213" s="1"/>
      <c r="AA213" s="1"/>
      <c r="AB213" s="1"/>
      <c r="AC213" s="1"/>
      <c r="AD213" s="1"/>
      <c r="AE213" s="1"/>
      <c r="AF213" s="98"/>
      <c r="AG213" s="1"/>
    </row>
    <row r="214" spans="1:33">
      <c r="A214" s="5">
        <v>12345</v>
      </c>
      <c r="B214" s="22" t="str">
        <f>INDEX(MeritBonus!$G$9:$G$500,MATCH('Performance Summary'!A214,MeritBonus!$F$9:$F$500,0))</f>
        <v>Roy Anthony</v>
      </c>
      <c r="C214" s="22" t="str">
        <f>INDEX(MeritBonus!$L$9:$L$500,MATCH('Performance Summary'!A214,MeritBonus!$F$9:$F$500,0))</f>
        <v/>
      </c>
      <c r="D214" s="22">
        <f>INDEX(MeritBonus!$M$9:$M$500,MATCH('Performance Summary'!A214,MeritBonus!$F$9:$F$500,0))</f>
        <v>0</v>
      </c>
      <c r="E214" s="22" t="str">
        <f>INDEX(MeritBonus!$J$9:$J$500,MATCH('Performance Summary'!A214,MeritBonus!$F$9:$F$500,0))</f>
        <v>Midwest</v>
      </c>
      <c r="F214" s="22" t="str">
        <f>INDEX(MeritBonus!$N$9:$N$500,MATCH('Performance Summary'!A214,MeritBonus!$F$9:$F$500,0))</f>
        <v>Active</v>
      </c>
      <c r="G214" s="22" t="str">
        <f>INDEX(MeritBonus!$AG$9:$AG$500,MATCH('Performance Summary'!A214,MeritBonus!$F$9:$F$500,0))</f>
        <v>Exceeds</v>
      </c>
      <c r="H214" s="32" t="str">
        <f>INDEX(MeritBonus!$CV$9:$CV$500,MATCH('Performance Summary'!A214,MeritBonus!$F$9:$F$500,0))</f>
        <v>86672;36523</v>
      </c>
      <c r="I214" s="32" t="str">
        <f t="shared" si="20"/>
        <v>Roy Anthony</v>
      </c>
      <c r="J214" s="32" t="str">
        <f t="shared" si="21"/>
        <v/>
      </c>
      <c r="K214" s="32" t="str">
        <f t="shared" si="22"/>
        <v/>
      </c>
      <c r="L214" s="32" t="str">
        <f t="shared" si="23"/>
        <v/>
      </c>
      <c r="M214" s="1"/>
      <c r="N214" s="198" t="str">
        <f t="shared" si="19"/>
        <v>Show</v>
      </c>
      <c r="O214" s="1"/>
      <c r="P214" s="1"/>
      <c r="Q214" s="1"/>
      <c r="R214" s="1"/>
      <c r="S214" s="1"/>
      <c r="T214" s="1"/>
      <c r="U214" s="1"/>
      <c r="V214" s="98"/>
      <c r="W214" s="1"/>
      <c r="X214" s="1"/>
      <c r="Y214" s="1"/>
      <c r="Z214" s="1"/>
      <c r="AA214" s="1"/>
      <c r="AB214" s="1"/>
      <c r="AC214" s="1"/>
      <c r="AD214" s="1"/>
      <c r="AE214" s="1"/>
      <c r="AF214" s="98"/>
      <c r="AG214" s="1"/>
    </row>
    <row r="215" spans="1:33">
      <c r="A215" s="5">
        <v>4567</v>
      </c>
      <c r="B215" s="22" t="str">
        <f>INDEX(MeritBonus!$G$9:$G$500,MATCH('Performance Summary'!A215,MeritBonus!$F$9:$F$500,0))</f>
        <v>John Smith</v>
      </c>
      <c r="C215" s="22">
        <f>INDEX(MeritBonus!$L$9:$L$500,MATCH('Performance Summary'!A215,MeritBonus!$F$9:$F$500,0))</f>
        <v>29271</v>
      </c>
      <c r="D215" s="22" t="str">
        <f>INDEX(MeritBonus!$M$9:$M$500,MATCH('Performance Summary'!A215,MeritBonus!$F$9:$F$500,0))</f>
        <v>Eugene Coe</v>
      </c>
      <c r="E215" s="22" t="str">
        <f>INDEX(MeritBonus!$J$9:$J$500,MATCH('Performance Summary'!A215,MeritBonus!$F$9:$F$500,0))</f>
        <v>East</v>
      </c>
      <c r="F215" s="22" t="str">
        <f>INDEX(MeritBonus!$N$9:$N$500,MATCH('Performance Summary'!A215,MeritBonus!$F$9:$F$500,0))</f>
        <v>Active</v>
      </c>
      <c r="G215" s="22" t="str">
        <f>INDEX(MeritBonus!$AG$9:$AG$500,MATCH('Performance Summary'!A215,MeritBonus!$F$9:$F$500,0))</f>
        <v>Below</v>
      </c>
      <c r="H215" s="32" t="str">
        <f>INDEX(MeritBonus!$CV$9:$CV$500,MATCH('Performance Summary'!A215,MeritBonus!$F$9:$F$500,0))</f>
        <v>86672;36523</v>
      </c>
      <c r="I215" s="32" t="str">
        <f t="shared" si="20"/>
        <v/>
      </c>
      <c r="J215" s="32" t="str">
        <f t="shared" si="21"/>
        <v/>
      </c>
      <c r="K215" s="32" t="str">
        <f t="shared" si="22"/>
        <v>John Smith</v>
      </c>
      <c r="L215" s="32" t="str">
        <f t="shared" si="23"/>
        <v/>
      </c>
      <c r="M215" s="1"/>
      <c r="N215" s="198" t="str">
        <f t="shared" si="19"/>
        <v>Show</v>
      </c>
      <c r="O215" s="1"/>
      <c r="P215" s="1"/>
      <c r="Q215" s="1"/>
      <c r="R215" s="1"/>
      <c r="S215" s="1"/>
      <c r="T215" s="1"/>
      <c r="U215" s="1"/>
      <c r="V215" s="98"/>
      <c r="W215" s="1"/>
      <c r="X215" s="1"/>
      <c r="Y215" s="1"/>
      <c r="Z215" s="1"/>
      <c r="AA215" s="1"/>
      <c r="AB215" s="1"/>
      <c r="AC215" s="1"/>
      <c r="AD215" s="1"/>
      <c r="AE215" s="1"/>
      <c r="AF215" s="98"/>
      <c r="AG215" s="1"/>
    </row>
    <row r="216" spans="1:33">
      <c r="A216" s="5">
        <v>4569</v>
      </c>
      <c r="B216" s="22" t="str">
        <f>INDEX(MeritBonus!$G$9:$G$500,MATCH('Performance Summary'!A216,MeritBonus!$F$9:$F$500,0))</f>
        <v>Gina Hernandez</v>
      </c>
      <c r="C216" s="22">
        <f>INDEX(MeritBonus!$L$9:$L$500,MATCH('Performance Summary'!A216,MeritBonus!$F$9:$F$500,0))</f>
        <v>4571</v>
      </c>
      <c r="D216" s="22" t="str">
        <f>INDEX(MeritBonus!$M$9:$M$500,MATCH('Performance Summary'!A216,MeritBonus!$F$9:$F$500,0))</f>
        <v>Erika Bettino</v>
      </c>
      <c r="E216" s="22" t="str">
        <f>INDEX(MeritBonus!$J$9:$J$500,MATCH('Performance Summary'!A216,MeritBonus!$F$9:$F$500,0))</f>
        <v>East</v>
      </c>
      <c r="F216" s="22" t="str">
        <f>INDEX(MeritBonus!$N$9:$N$500,MATCH('Performance Summary'!A216,MeritBonus!$F$9:$F$500,0))</f>
        <v>Active</v>
      </c>
      <c r="G216" s="22" t="str">
        <f>INDEX(MeritBonus!$AG$9:$AG$500,MATCH('Performance Summary'!A216,MeritBonus!$F$9:$F$500,0))</f>
        <v>Exceeds</v>
      </c>
      <c r="H216" s="32" t="str">
        <f>INDEX(MeritBonus!$CV$9:$CV$500,MATCH('Performance Summary'!A216,MeritBonus!$F$9:$F$500,0))</f>
        <v>86672;36523</v>
      </c>
      <c r="I216" s="32" t="str">
        <f t="shared" si="20"/>
        <v>Gina Hernandez</v>
      </c>
      <c r="J216" s="32" t="str">
        <f t="shared" si="21"/>
        <v/>
      </c>
      <c r="K216" s="32" t="str">
        <f t="shared" si="22"/>
        <v/>
      </c>
      <c r="L216" s="32" t="str">
        <f t="shared" si="23"/>
        <v/>
      </c>
      <c r="M216" s="1"/>
      <c r="N216" s="198" t="str">
        <f t="shared" si="19"/>
        <v>Show</v>
      </c>
      <c r="O216" s="1"/>
      <c r="P216" s="1"/>
      <c r="Q216" s="1"/>
      <c r="R216" s="1"/>
      <c r="S216" s="1"/>
      <c r="T216" s="1"/>
      <c r="U216" s="1"/>
      <c r="V216" s="98"/>
      <c r="W216" s="1"/>
      <c r="X216" s="1"/>
      <c r="Y216" s="1"/>
      <c r="Z216" s="1"/>
      <c r="AA216" s="1"/>
      <c r="AB216" s="1"/>
      <c r="AC216" s="1"/>
      <c r="AD216" s="1"/>
      <c r="AE216" s="1"/>
      <c r="AF216" s="98"/>
      <c r="AG216" s="1"/>
    </row>
    <row r="217" spans="1:33">
      <c r="A217" s="5">
        <v>4570</v>
      </c>
      <c r="B217" s="22" t="str">
        <f>INDEX(MeritBonus!$G$9:$G$500,MATCH('Performance Summary'!A217,MeritBonus!$F$9:$F$500,0))</f>
        <v>Natalie Turner</v>
      </c>
      <c r="C217" s="22">
        <f>INDEX(MeritBonus!$L$9:$L$500,MATCH('Performance Summary'!A217,MeritBonus!$F$9:$F$500,0))</f>
        <v>4571</v>
      </c>
      <c r="D217" s="22" t="str">
        <f>INDEX(MeritBonus!$M$9:$M$500,MATCH('Performance Summary'!A217,MeritBonus!$F$9:$F$500,0))</f>
        <v>Erika Bettino</v>
      </c>
      <c r="E217" s="22" t="str">
        <f>INDEX(MeritBonus!$J$9:$J$500,MATCH('Performance Summary'!A217,MeritBonus!$F$9:$F$500,0))</f>
        <v>East</v>
      </c>
      <c r="F217" s="22" t="str">
        <f>INDEX(MeritBonus!$N$9:$N$500,MATCH('Performance Summary'!A217,MeritBonus!$F$9:$F$500,0))</f>
        <v>Active</v>
      </c>
      <c r="G217" s="22" t="str">
        <f>INDEX(MeritBonus!$AG$9:$AG$500,MATCH('Performance Summary'!A217,MeritBonus!$F$9:$F$500,0))</f>
        <v>Exceeds</v>
      </c>
      <c r="H217" s="32" t="str">
        <f>INDEX(MeritBonus!$CV$9:$CV$500,MATCH('Performance Summary'!A217,MeritBonus!$F$9:$F$500,0))</f>
        <v>86672;36523</v>
      </c>
      <c r="I217" s="32" t="str">
        <f t="shared" si="20"/>
        <v>Natalie Turner</v>
      </c>
      <c r="J217" s="32" t="str">
        <f t="shared" si="21"/>
        <v/>
      </c>
      <c r="K217" s="32" t="str">
        <f t="shared" si="22"/>
        <v/>
      </c>
      <c r="L217" s="32" t="str">
        <f t="shared" si="23"/>
        <v/>
      </c>
      <c r="M217" s="1"/>
      <c r="N217" s="198" t="str">
        <f t="shared" si="19"/>
        <v>Show</v>
      </c>
      <c r="O217" s="1"/>
      <c r="P217" s="1"/>
      <c r="Q217" s="1"/>
      <c r="R217" s="1"/>
      <c r="S217" s="1"/>
      <c r="T217" s="1"/>
      <c r="U217" s="1"/>
      <c r="V217" s="98"/>
      <c r="W217" s="1"/>
      <c r="X217" s="1"/>
      <c r="Y217" s="1"/>
      <c r="Z217" s="1"/>
      <c r="AA217" s="1"/>
      <c r="AB217" s="1"/>
      <c r="AC217" s="1"/>
      <c r="AD217" s="1"/>
      <c r="AE217" s="1"/>
      <c r="AF217" s="98"/>
      <c r="AG217" s="1"/>
    </row>
    <row r="218" spans="1:33">
      <c r="A218" s="5">
        <v>4571</v>
      </c>
      <c r="B218" s="22" t="str">
        <f>INDEX(MeritBonus!$G$9:$G$500,MATCH('Performance Summary'!A218,MeritBonus!$F$9:$F$500,0))</f>
        <v>Erika Bettino</v>
      </c>
      <c r="C218" s="22">
        <f>INDEX(MeritBonus!$L$9:$L$500,MATCH('Performance Summary'!A218,MeritBonus!$F$9:$F$500,0))</f>
        <v>12345</v>
      </c>
      <c r="D218" s="22" t="str">
        <f>INDEX(MeritBonus!$M$9:$M$500,MATCH('Performance Summary'!A218,MeritBonus!$F$9:$F$500,0))</f>
        <v>Roy Anthony</v>
      </c>
      <c r="E218" s="22" t="str">
        <f>INDEX(MeritBonus!$J$9:$J$500,MATCH('Performance Summary'!A218,MeritBonus!$F$9:$F$500,0))</f>
        <v>East</v>
      </c>
      <c r="F218" s="22" t="str">
        <f>INDEX(MeritBonus!$N$9:$N$500,MATCH('Performance Summary'!A218,MeritBonus!$F$9:$F$500,0))</f>
        <v>Active</v>
      </c>
      <c r="G218" s="22" t="str">
        <f>INDEX(MeritBonus!$AG$9:$AG$500,MATCH('Performance Summary'!A218,MeritBonus!$F$9:$F$500,0))</f>
        <v>Meets</v>
      </c>
      <c r="H218" s="32" t="str">
        <f>INDEX(MeritBonus!$CV$9:$CV$500,MATCH('Performance Summary'!A218,MeritBonus!$F$9:$F$500,0))</f>
        <v>86672;36523</v>
      </c>
      <c r="I218" s="32" t="str">
        <f t="shared" si="20"/>
        <v/>
      </c>
      <c r="J218" s="32" t="str">
        <f t="shared" si="21"/>
        <v>Erika Bettino</v>
      </c>
      <c r="K218" s="32" t="str">
        <f t="shared" si="22"/>
        <v/>
      </c>
      <c r="L218" s="32" t="str">
        <f t="shared" si="23"/>
        <v/>
      </c>
      <c r="M218" s="1"/>
      <c r="N218" s="198" t="str">
        <f t="shared" si="19"/>
        <v>Show</v>
      </c>
      <c r="O218" s="1"/>
      <c r="P218" s="1"/>
      <c r="Q218" s="1"/>
      <c r="R218" s="1"/>
      <c r="S218" s="1"/>
      <c r="T218" s="1"/>
      <c r="U218" s="1"/>
      <c r="V218" s="98"/>
      <c r="W218" s="1"/>
      <c r="X218" s="1"/>
      <c r="Y218" s="1"/>
      <c r="Z218" s="1"/>
      <c r="AA218" s="1"/>
      <c r="AB218" s="1"/>
      <c r="AC218" s="1"/>
      <c r="AD218" s="1"/>
      <c r="AE218" s="1"/>
      <c r="AF218" s="98"/>
      <c r="AG218" s="1"/>
    </row>
  </sheetData>
  <mergeCells count="1">
    <mergeCell ref="R1:V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6"/>
  <sheetViews>
    <sheetView workbookViewId="0"/>
  </sheetViews>
  <sheetFormatPr baseColWidth="10" defaultRowHeight="14"/>
  <cols>
    <col min="1" max="1" width="2.6640625" customWidth="1"/>
    <col min="2" max="4" width="32.83203125" customWidth="1"/>
    <col min="5" max="5" width="2.6640625" customWidth="1"/>
    <col min="6" max="6" width="9.1640625" customWidth="1"/>
    <col min="7" max="8" width="11.1640625" customWidth="1"/>
    <col min="9" max="9" width="5.1640625" customWidth="1"/>
    <col min="10" max="10" width="3.83203125" customWidth="1"/>
    <col min="11" max="11" width="4.1640625" customWidth="1"/>
    <col min="12" max="12" width="9.1640625" customWidth="1"/>
    <col min="13" max="13" width="16.1640625" customWidth="1"/>
    <col min="14" max="14" width="13.6640625" customWidth="1"/>
    <col min="15" max="15" width="7.83203125" customWidth="1"/>
    <col min="16" max="17" width="8.1640625" customWidth="1"/>
    <col min="18" max="20" width="21.6640625" customWidth="1"/>
    <col min="21" max="26" width="9.1640625" customWidth="1"/>
  </cols>
  <sheetData>
    <row r="1" spans="1:26">
      <c r="A1" s="2"/>
      <c r="B1" s="2"/>
      <c r="C1" s="2"/>
      <c r="D1" s="2"/>
      <c r="E1" s="2"/>
      <c r="F1" s="2"/>
      <c r="G1" s="6"/>
      <c r="H1" s="6"/>
      <c r="I1" s="6"/>
      <c r="J1" s="6"/>
      <c r="K1" s="6"/>
      <c r="L1" s="2" t="s">
        <v>689</v>
      </c>
      <c r="M1" s="6"/>
      <c r="N1" s="6"/>
      <c r="O1" s="2"/>
      <c r="P1" s="2"/>
      <c r="Q1" s="2"/>
      <c r="R1" s="2"/>
      <c r="S1" s="37"/>
      <c r="T1" s="2"/>
      <c r="U1" s="1"/>
      <c r="V1" s="98"/>
      <c r="W1" s="1"/>
      <c r="X1" s="1"/>
      <c r="Y1" s="98"/>
      <c r="Z1" s="1"/>
    </row>
    <row r="2" spans="1:26" ht="16">
      <c r="A2" s="3"/>
      <c r="B2" s="303" t="s">
        <v>690</v>
      </c>
      <c r="C2" s="303"/>
      <c r="D2" s="303"/>
      <c r="E2" s="3"/>
      <c r="F2" s="3"/>
      <c r="G2" s="3"/>
      <c r="H2" s="2"/>
      <c r="I2" s="2"/>
      <c r="J2" s="2"/>
      <c r="K2" s="2"/>
      <c r="L2" s="3" t="s">
        <v>664</v>
      </c>
      <c r="M2" s="81" t="s">
        <v>691</v>
      </c>
      <c r="N2" s="82">
        <v>497</v>
      </c>
      <c r="O2" s="2"/>
      <c r="P2" s="2"/>
      <c r="Q2" s="2" t="s">
        <v>11</v>
      </c>
      <c r="R2" s="2"/>
      <c r="S2" s="37"/>
      <c r="T2" s="2"/>
      <c r="U2" s="1"/>
      <c r="V2" s="98"/>
      <c r="W2" s="1"/>
      <c r="X2" s="1"/>
      <c r="Y2" s="98"/>
      <c r="Z2" s="1"/>
    </row>
    <row r="3" spans="1:26" ht="21">
      <c r="A3" s="3"/>
      <c r="B3" s="304" t="s">
        <v>692</v>
      </c>
      <c r="C3" s="304"/>
      <c r="D3" s="304"/>
      <c r="E3" s="3"/>
      <c r="F3" s="3"/>
      <c r="G3" s="3"/>
      <c r="H3" s="2"/>
      <c r="I3" s="2"/>
      <c r="J3" s="2"/>
      <c r="K3" s="2"/>
      <c r="L3" s="3" t="s">
        <v>664</v>
      </c>
      <c r="M3" s="81" t="s">
        <v>693</v>
      </c>
      <c r="N3" s="82">
        <f>IFERROR(MATCH(N2,MeritBonus!$A$1:$A$501,0),"Not Found")</f>
        <v>9</v>
      </c>
      <c r="O3" s="2"/>
      <c r="P3" s="2"/>
      <c r="Q3" s="2"/>
      <c r="R3" s="2"/>
      <c r="S3" s="37"/>
      <c r="T3" s="2"/>
      <c r="U3" s="1"/>
      <c r="V3" s="98"/>
      <c r="W3" s="1"/>
      <c r="X3" s="1"/>
      <c r="Y3" s="98"/>
      <c r="Z3" s="1"/>
    </row>
    <row r="4" spans="1:26" ht="21">
      <c r="A4" s="3"/>
      <c r="B4" s="304" t="s">
        <v>694</v>
      </c>
      <c r="C4" s="304"/>
      <c r="D4" s="304"/>
      <c r="E4" s="3"/>
      <c r="F4" s="3"/>
      <c r="G4" s="3"/>
      <c r="H4" s="2"/>
      <c r="I4" s="2"/>
      <c r="J4" s="2"/>
      <c r="K4" s="2"/>
      <c r="L4" s="3" t="s">
        <v>664</v>
      </c>
      <c r="M4" s="81" t="s">
        <v>695</v>
      </c>
      <c r="N4" s="82" t="str">
        <f ca="1">INDIRECT("'MeritBonus'!"&amp;"AD"&amp;$N$3)</f>
        <v>Yes</v>
      </c>
      <c r="O4" s="2"/>
      <c r="P4" s="2"/>
      <c r="Q4" s="2"/>
      <c r="R4" s="2"/>
      <c r="S4" s="37"/>
      <c r="T4" s="2"/>
      <c r="U4" s="1"/>
      <c r="V4" s="98"/>
      <c r="W4" s="1"/>
      <c r="X4" s="1"/>
      <c r="Y4" s="98"/>
      <c r="Z4" s="1"/>
    </row>
    <row r="5" spans="1:26" ht="16">
      <c r="A5" s="3"/>
      <c r="B5" s="112" t="s">
        <v>696</v>
      </c>
      <c r="C5" s="113" t="s">
        <v>697</v>
      </c>
      <c r="D5" s="114" t="s">
        <v>698</v>
      </c>
      <c r="E5" s="3"/>
      <c r="F5" s="3"/>
      <c r="G5" s="3"/>
      <c r="H5" s="2"/>
      <c r="I5" s="2"/>
      <c r="J5" s="2"/>
      <c r="K5" s="2"/>
      <c r="L5" s="3" t="s">
        <v>664</v>
      </c>
      <c r="M5" s="81" t="s">
        <v>699</v>
      </c>
      <c r="N5" s="82" t="str">
        <f ca="1">INDIRECT("'MeritBonus'!"&amp;"BA"&amp;$N$3)</f>
        <v>No</v>
      </c>
      <c r="O5" s="2"/>
      <c r="P5" s="2"/>
      <c r="Q5" s="2"/>
      <c r="R5" s="2"/>
      <c r="S5" s="37"/>
      <c r="T5" s="2"/>
      <c r="U5" s="1"/>
      <c r="V5" s="98"/>
      <c r="W5" s="1"/>
      <c r="X5" s="1"/>
      <c r="Y5" s="98"/>
      <c r="Z5" s="1"/>
    </row>
    <row r="6" spans="1:26" ht="16">
      <c r="A6" s="3"/>
      <c r="B6" s="115" t="str">
        <f ca="1">INDIRECT("'MeritBonus'!"&amp;"G"&amp;$N$3)</f>
        <v>Jimmy Mcmulin</v>
      </c>
      <c r="C6" s="105">
        <f ca="1">INDIRECT("'MeritBonus'!"&amp;"F"&amp;$N$3)</f>
        <v>497</v>
      </c>
      <c r="D6" s="116" t="str">
        <f ca="1">INDIRECT("'MeritBonus'!"&amp;"M"&amp;$N$3)</f>
        <v>Todd Falco</v>
      </c>
      <c r="E6" s="3"/>
      <c r="F6" s="3"/>
      <c r="G6" s="3"/>
      <c r="H6" s="2"/>
      <c r="I6" s="2"/>
      <c r="J6" s="2"/>
      <c r="K6" s="2"/>
      <c r="L6" s="3" t="s">
        <v>664</v>
      </c>
      <c r="M6" s="81" t="s">
        <v>700</v>
      </c>
      <c r="N6" s="82" t="str">
        <f ca="1">INDIRECT("'MeritBonus'!"&amp;"BO"&amp;$N$3)</f>
        <v>Yes</v>
      </c>
      <c r="O6" s="2"/>
      <c r="P6" s="2"/>
      <c r="Q6" s="2"/>
      <c r="R6" s="2"/>
      <c r="S6" s="37"/>
      <c r="T6" s="2"/>
      <c r="U6" s="1"/>
      <c r="V6" s="98"/>
      <c r="W6" s="1"/>
      <c r="X6" s="1"/>
      <c r="Y6" s="98"/>
      <c r="Z6" s="1"/>
    </row>
    <row r="7" spans="1:26" ht="16">
      <c r="A7" s="3"/>
      <c r="B7" s="117"/>
      <c r="C7" s="105"/>
      <c r="D7" s="116"/>
      <c r="E7" s="3"/>
      <c r="F7" s="3"/>
      <c r="G7" s="3"/>
      <c r="H7" s="2"/>
      <c r="I7" s="2"/>
      <c r="J7" s="2"/>
      <c r="K7" s="2"/>
      <c r="L7" s="3" t="s">
        <v>664</v>
      </c>
      <c r="M7" s="81" t="s">
        <v>701</v>
      </c>
      <c r="N7" s="82" t="str">
        <f ca="1">INDIRECT("'MeritBonus'!"&amp;"BQ"&amp;$N$3)</f>
        <v>Yes</v>
      </c>
      <c r="O7" s="2"/>
      <c r="P7" s="2"/>
      <c r="Q7" s="2"/>
      <c r="R7" s="2"/>
      <c r="S7" s="37"/>
      <c r="T7" s="2"/>
      <c r="U7" s="1"/>
      <c r="V7" s="98"/>
      <c r="W7" s="1"/>
      <c r="X7" s="1"/>
      <c r="Y7" s="98"/>
      <c r="Z7" s="1"/>
    </row>
    <row r="8" spans="1:26" ht="16">
      <c r="A8" s="16"/>
      <c r="B8" s="305" t="s">
        <v>702</v>
      </c>
      <c r="C8" s="305"/>
      <c r="D8" s="305"/>
      <c r="E8" s="16"/>
      <c r="F8" s="3"/>
      <c r="G8" s="16"/>
      <c r="H8" s="2"/>
      <c r="I8" s="2"/>
      <c r="J8" s="2"/>
      <c r="K8" s="2"/>
      <c r="L8" s="3" t="s">
        <v>664</v>
      </c>
      <c r="M8" s="81" t="s">
        <v>703</v>
      </c>
      <c r="N8" s="82" t="str">
        <f ca="1">INDIRECT("'MeritBonus'!"&amp;"BZ"&amp;$N$3)</f>
        <v>No</v>
      </c>
      <c r="O8" s="2"/>
      <c r="P8" s="2"/>
      <c r="Q8" s="2"/>
      <c r="R8" s="2"/>
      <c r="S8" s="37"/>
      <c r="T8" s="2"/>
      <c r="U8" s="1"/>
      <c r="V8" s="98"/>
      <c r="W8" s="1"/>
      <c r="X8" s="1"/>
      <c r="Y8" s="98"/>
      <c r="Z8" s="1"/>
    </row>
    <row r="9" spans="1:26">
      <c r="A9" s="3"/>
      <c r="B9" s="306"/>
      <c r="C9" s="306"/>
      <c r="D9" s="306"/>
      <c r="E9" s="3"/>
      <c r="F9" s="3"/>
      <c r="G9" s="3"/>
      <c r="H9" s="2"/>
      <c r="I9" s="2"/>
      <c r="J9" s="2"/>
      <c r="K9" s="2"/>
      <c r="L9" s="3" t="s">
        <v>664</v>
      </c>
      <c r="M9" s="2"/>
      <c r="N9" s="2"/>
      <c r="O9" s="2"/>
      <c r="P9" s="2"/>
      <c r="Q9" s="2"/>
      <c r="R9" s="2"/>
      <c r="S9" s="37"/>
      <c r="T9" s="2"/>
      <c r="U9" s="1"/>
      <c r="V9" s="98"/>
      <c r="W9" s="1"/>
      <c r="X9" s="1"/>
      <c r="Y9" s="98"/>
      <c r="Z9" s="1"/>
    </row>
    <row r="10" spans="1:26" ht="16">
      <c r="A10" s="3"/>
      <c r="B10" s="302" t="s">
        <v>704</v>
      </c>
      <c r="C10" s="302"/>
      <c r="D10" s="302"/>
      <c r="E10" s="2"/>
      <c r="F10" s="3"/>
      <c r="G10" s="3"/>
      <c r="H10" s="2"/>
      <c r="I10" s="2"/>
      <c r="J10" s="2"/>
      <c r="K10" s="2"/>
      <c r="L10" s="3" t="s">
        <v>664</v>
      </c>
      <c r="M10" s="2"/>
      <c r="N10" s="2"/>
      <c r="O10" s="2"/>
      <c r="P10" s="2"/>
      <c r="Q10" s="2"/>
      <c r="R10" s="2"/>
      <c r="S10" s="37"/>
      <c r="T10" s="2"/>
      <c r="U10" s="1"/>
      <c r="V10" s="98"/>
      <c r="W10" s="1"/>
      <c r="X10" s="1"/>
      <c r="Y10" s="98"/>
      <c r="Z10" s="1"/>
    </row>
    <row r="11" spans="1:26" ht="15">
      <c r="A11" s="3"/>
      <c r="B11" s="118" t="s">
        <v>705</v>
      </c>
      <c r="C11" s="119" t="str">
        <f ca="1">INDIRECT("'MeritBonus'!"&amp;"AG"&amp;$N$3)</f>
        <v>Exceeds</v>
      </c>
      <c r="D11" s="120"/>
      <c r="E11" s="3"/>
      <c r="F11" s="3"/>
      <c r="G11" s="3"/>
      <c r="H11" s="2"/>
      <c r="I11" s="2"/>
      <c r="J11" s="2"/>
      <c r="K11" s="2"/>
      <c r="L11" s="3" t="s">
        <v>664</v>
      </c>
      <c r="M11" s="2"/>
      <c r="N11" s="2"/>
      <c r="O11" s="2"/>
      <c r="P11" s="2"/>
      <c r="Q11" s="2"/>
      <c r="R11" s="2"/>
      <c r="S11" s="37"/>
      <c r="T11" s="2"/>
      <c r="U11" s="1"/>
      <c r="V11" s="98"/>
      <c r="W11" s="1"/>
      <c r="X11" s="1"/>
      <c r="Y11" s="98"/>
      <c r="Z11" s="1"/>
    </row>
    <row r="12" spans="1:26">
      <c r="A12" s="16"/>
      <c r="B12" s="103"/>
      <c r="C12" s="104"/>
      <c r="D12" s="104"/>
      <c r="E12" s="16"/>
      <c r="F12" s="3"/>
      <c r="G12" s="16"/>
      <c r="H12" s="2"/>
      <c r="I12" s="2"/>
      <c r="J12" s="2"/>
      <c r="K12" s="2"/>
      <c r="L12" s="3" t="s">
        <v>664</v>
      </c>
      <c r="M12" s="2"/>
      <c r="N12" s="2"/>
      <c r="O12" s="2"/>
      <c r="P12" s="2"/>
      <c r="Q12" s="2"/>
      <c r="R12" s="2"/>
      <c r="S12" s="37"/>
      <c r="T12" s="2"/>
      <c r="U12" s="1"/>
      <c r="V12" s="98"/>
      <c r="W12" s="1"/>
      <c r="X12" s="1"/>
      <c r="Y12" s="98"/>
      <c r="Z12" s="1"/>
    </row>
    <row r="13" spans="1:26" ht="16">
      <c r="A13" s="16"/>
      <c r="B13" s="302" t="s">
        <v>706</v>
      </c>
      <c r="C13" s="302"/>
      <c r="D13" s="302"/>
      <c r="E13" s="16"/>
      <c r="F13" s="3"/>
      <c r="G13" s="16"/>
      <c r="H13" s="2"/>
      <c r="I13" s="2"/>
      <c r="J13" s="2"/>
      <c r="K13" s="2"/>
      <c r="L13" s="83" t="str">
        <f ca="1">IF(AND(LEN(INDIRECT("'MeritBonus'!"&amp;"AC"&amp;$N$3)&gt;0),INDIRECT("'MeritBonus'!"&amp;"AC"&amp;$N$3)&gt;0),"Show","")</f>
        <v/>
      </c>
      <c r="M13" s="2" t="s">
        <v>707</v>
      </c>
      <c r="N13" s="2"/>
      <c r="O13" s="2"/>
      <c r="P13" s="2"/>
      <c r="Q13" s="2"/>
      <c r="R13" s="2"/>
      <c r="S13" s="37"/>
      <c r="T13" s="2"/>
      <c r="U13" s="1"/>
      <c r="V13" s="98"/>
      <c r="W13" s="1"/>
      <c r="X13" s="1"/>
      <c r="Y13" s="98"/>
      <c r="Z13" s="1"/>
    </row>
    <row r="14" spans="1:26" ht="16">
      <c r="A14" s="16"/>
      <c r="B14" s="123" t="s">
        <v>708</v>
      </c>
      <c r="C14" s="124" t="str">
        <f ca="1">TEXT(INDIRECT("'MeritBonus'!"&amp;"AC"&amp;$N$3),"#,##0")&amp;" "&amp;INDIRECT("'MeritBonus'!"&amp;"S"&amp;$N$3)</f>
        <v>0 AUD</v>
      </c>
      <c r="D14" s="125"/>
      <c r="E14" s="16"/>
      <c r="F14" s="3"/>
      <c r="G14" s="16"/>
      <c r="H14" s="2"/>
      <c r="I14" s="2"/>
      <c r="J14" s="2"/>
      <c r="K14" s="2"/>
      <c r="L14" s="83" t="str">
        <f ca="1">IF(AND(LEN(INDIRECT("'MeritBonus'!"&amp;"AC"&amp;$N$3)&gt;0),INDIRECT("'MeritBonus'!"&amp;"AC"&amp;$N$3)&gt;0),"Show","")</f>
        <v/>
      </c>
      <c r="M14" s="2" t="s">
        <v>707</v>
      </c>
      <c r="N14" s="2"/>
      <c r="O14" s="2"/>
      <c r="P14" s="2"/>
      <c r="Q14" s="2"/>
      <c r="R14" s="2"/>
      <c r="S14" s="37"/>
      <c r="T14" s="2"/>
      <c r="U14" s="1"/>
      <c r="V14" s="98"/>
      <c r="W14" s="1"/>
      <c r="X14" s="1"/>
      <c r="Y14" s="98"/>
      <c r="Z14" s="1"/>
    </row>
    <row r="15" spans="1:26">
      <c r="A15" s="16"/>
      <c r="B15" s="103"/>
      <c r="C15" s="104"/>
      <c r="D15" s="104"/>
      <c r="E15" s="16"/>
      <c r="F15" s="3"/>
      <c r="G15" s="16"/>
      <c r="H15" s="2"/>
      <c r="I15" s="2"/>
      <c r="J15" s="2"/>
      <c r="K15" s="2"/>
      <c r="L15" s="83" t="str">
        <f ca="1">IF(AND(LEN(INDIRECT("'MeritBonus'!"&amp;"AC"&amp;$N$3)&gt;0),INDIRECT("'MeritBonus'!"&amp;"AC"&amp;$N$3)&gt;0),"Show","")</f>
        <v/>
      </c>
      <c r="M15" s="2" t="s">
        <v>707</v>
      </c>
      <c r="N15" s="2"/>
      <c r="O15" s="2"/>
      <c r="P15" s="2"/>
      <c r="Q15" s="2"/>
      <c r="R15" s="2"/>
      <c r="S15" s="37"/>
      <c r="T15" s="2"/>
      <c r="U15" s="1"/>
      <c r="V15" s="98"/>
      <c r="W15" s="1"/>
      <c r="X15" s="1"/>
      <c r="Y15" s="98"/>
      <c r="Z15" s="1"/>
    </row>
    <row r="16" spans="1:26" ht="16">
      <c r="A16" s="3"/>
      <c r="B16" s="302" t="s">
        <v>38</v>
      </c>
      <c r="C16" s="302"/>
      <c r="D16" s="302"/>
      <c r="E16" s="2"/>
      <c r="F16" s="3"/>
      <c r="G16" s="3"/>
      <c r="H16" s="2"/>
      <c r="I16" s="2"/>
      <c r="J16" s="2"/>
      <c r="K16" s="2"/>
      <c r="L16" s="83" t="str">
        <f ca="1">IF($N$4="Yes","Show","")</f>
        <v>Show</v>
      </c>
      <c r="M16" s="2" t="s">
        <v>709</v>
      </c>
      <c r="N16" s="2"/>
      <c r="O16" s="2"/>
      <c r="P16" s="2"/>
      <c r="Q16" s="2"/>
      <c r="R16" s="2"/>
      <c r="S16" s="37"/>
      <c r="T16" s="2"/>
      <c r="U16" s="1"/>
      <c r="V16" s="98"/>
      <c r="W16" s="1"/>
      <c r="X16" s="1"/>
      <c r="Y16" s="98"/>
      <c r="Z16" s="1"/>
    </row>
    <row r="17" spans="1:26" ht="16">
      <c r="A17" s="3"/>
      <c r="B17" s="121" t="s">
        <v>710</v>
      </c>
      <c r="C17" s="106" t="str">
        <f ca="1">TEXT(INDIRECT("'MeritBonus'!"&amp;"T"&amp;$N$3),"#,##0")&amp;" "&amp;INDIRECT("'MeritBonus'!"&amp;"S"&amp;$N$3)</f>
        <v>70,000 AUD</v>
      </c>
      <c r="D17" s="122"/>
      <c r="E17" s="2"/>
      <c r="F17" s="3"/>
      <c r="G17" s="3"/>
      <c r="H17" s="2"/>
      <c r="I17" s="2"/>
      <c r="J17" s="2"/>
      <c r="K17" s="2"/>
      <c r="L17" s="83" t="str">
        <f ca="1">IF($N$4="Yes","Show","")</f>
        <v>Show</v>
      </c>
      <c r="M17" s="2" t="s">
        <v>709</v>
      </c>
      <c r="N17" s="2"/>
      <c r="O17" s="2"/>
      <c r="P17" s="2"/>
      <c r="Q17" s="2"/>
      <c r="R17" s="2"/>
      <c r="S17" s="37"/>
      <c r="T17" s="2"/>
      <c r="U17" s="1"/>
      <c r="V17" s="98"/>
      <c r="W17" s="1"/>
      <c r="X17" s="1"/>
      <c r="Y17" s="98"/>
      <c r="Z17" s="1"/>
    </row>
    <row r="18" spans="1:26" ht="16">
      <c r="A18" s="3"/>
      <c r="B18" s="121" t="s">
        <v>711</v>
      </c>
      <c r="C18" s="106" t="str">
        <f ca="1">TEXT(INDIRECT("'MeritBonus'!"&amp;"AR"&amp;$N$3),"#,##0")&amp;" "&amp;INDIRECT("'MeritBonus'!"&amp;"S"&amp;$N$3)</f>
        <v>0 AUD</v>
      </c>
      <c r="D18" s="122"/>
      <c r="E18" s="2"/>
      <c r="F18" s="3"/>
      <c r="G18" s="3"/>
      <c r="H18" s="2"/>
      <c r="I18" s="2"/>
      <c r="J18" s="2"/>
      <c r="K18" s="2"/>
      <c r="L18" s="83" t="str">
        <f ca="1">IF($N$4="Yes","Show","")</f>
        <v>Show</v>
      </c>
      <c r="M18" s="2" t="s">
        <v>709</v>
      </c>
      <c r="N18" s="2"/>
      <c r="O18" s="2"/>
      <c r="P18" s="2"/>
      <c r="Q18" s="2"/>
      <c r="R18" s="2"/>
      <c r="S18" s="37"/>
      <c r="T18" s="2"/>
      <c r="U18" s="1"/>
      <c r="V18" s="98"/>
      <c r="W18" s="1"/>
      <c r="X18" s="1"/>
      <c r="Y18" s="98"/>
      <c r="Z18" s="1"/>
    </row>
    <row r="19" spans="1:26" ht="16">
      <c r="A19" s="3"/>
      <c r="B19" s="121" t="s">
        <v>712</v>
      </c>
      <c r="C19" s="106" t="str">
        <f ca="1">TEXT(INDIRECT("'MeritBonus'!"&amp;"AP"&amp;$N$3),"#,##0")&amp;" "&amp;INDIRECT("'MeritBonus'!"&amp;"S"&amp;$N$3)</f>
        <v>3,500 AUD</v>
      </c>
      <c r="D19" s="122"/>
      <c r="E19" s="2"/>
      <c r="F19" s="3"/>
      <c r="G19" s="3"/>
      <c r="H19" s="2"/>
      <c r="I19" s="2"/>
      <c r="J19" s="2"/>
      <c r="K19" s="2"/>
      <c r="L19" s="83" t="str">
        <f ca="1">IF(AND(LEN(INDIRECT("'MeritBonus'!"&amp;"AP"&amp;$N$3)&gt;0),INDIRECT("'MeritBonus'!"&amp;"AP"&amp;$N$3)&gt;0),"Show","")</f>
        <v>Show</v>
      </c>
      <c r="M19" s="2" t="s">
        <v>713</v>
      </c>
      <c r="N19" s="2"/>
      <c r="O19" s="2"/>
      <c r="P19" s="2"/>
      <c r="Q19" s="2"/>
      <c r="R19" s="2"/>
      <c r="S19" s="37"/>
      <c r="T19" s="2"/>
      <c r="U19" s="1"/>
      <c r="V19" s="98"/>
      <c r="W19" s="1"/>
      <c r="X19" s="1"/>
      <c r="Y19" s="98"/>
      <c r="Z19" s="1"/>
    </row>
    <row r="20" spans="1:26" ht="16">
      <c r="A20" s="3"/>
      <c r="B20" s="123" t="s">
        <v>714</v>
      </c>
      <c r="C20" s="124" t="str">
        <f ca="1">TEXT(INDIRECT("'MeritBonus'!"&amp;"BM"&amp;$N$3),"#,##0")&amp;" "&amp;INDIRECT("'MeritBonus'!"&amp;"S"&amp;$N$3)</f>
        <v>70,000 AUD</v>
      </c>
      <c r="D20" s="125"/>
      <c r="E20" s="2"/>
      <c r="F20" s="3"/>
      <c r="G20" s="3"/>
      <c r="H20" s="2"/>
      <c r="I20" s="2"/>
      <c r="J20" s="2"/>
      <c r="K20" s="2"/>
      <c r="L20" s="83" t="str">
        <f ca="1">IF($N$4="Yes","Show","")</f>
        <v>Show</v>
      </c>
      <c r="M20" s="2" t="s">
        <v>709</v>
      </c>
      <c r="N20" s="2"/>
      <c r="O20" s="2"/>
      <c r="P20" s="2"/>
      <c r="Q20" s="2"/>
      <c r="R20" s="2"/>
      <c r="S20" s="37"/>
      <c r="T20" s="2"/>
      <c r="U20" s="1"/>
      <c r="V20" s="98"/>
      <c r="W20" s="1"/>
      <c r="X20" s="1"/>
      <c r="Y20" s="98"/>
      <c r="Z20" s="1"/>
    </row>
    <row r="21" spans="1:26">
      <c r="A21" s="16"/>
      <c r="B21" s="103"/>
      <c r="C21" s="104"/>
      <c r="D21" s="104"/>
      <c r="E21" s="16"/>
      <c r="F21" s="3"/>
      <c r="G21" s="16"/>
      <c r="H21" s="2"/>
      <c r="I21" s="2"/>
      <c r="J21" s="2"/>
      <c r="K21" s="2"/>
      <c r="L21" s="83" t="str">
        <f ca="1">IF($N$4="Yes","Show","")</f>
        <v>Show</v>
      </c>
      <c r="M21" s="2" t="s">
        <v>709</v>
      </c>
      <c r="N21" s="2"/>
      <c r="O21" s="2"/>
      <c r="P21" s="2"/>
      <c r="Q21" s="2"/>
      <c r="R21" s="2"/>
      <c r="S21" s="37"/>
      <c r="T21" s="2"/>
      <c r="U21" s="1"/>
      <c r="V21" s="98"/>
      <c r="W21" s="1"/>
      <c r="X21" s="1"/>
      <c r="Y21" s="98"/>
      <c r="Z21" s="1"/>
    </row>
    <row r="22" spans="1:26" ht="16">
      <c r="A22" s="3"/>
      <c r="B22" s="302" t="s">
        <v>39</v>
      </c>
      <c r="C22" s="302"/>
      <c r="D22" s="302"/>
      <c r="E22" s="2"/>
      <c r="F22" s="3"/>
      <c r="G22" s="3"/>
      <c r="H22" s="2"/>
      <c r="I22" s="2"/>
      <c r="J22" s="2"/>
      <c r="K22" s="2"/>
      <c r="L22" s="83" t="str">
        <f t="shared" ref="L22:L27" ca="1" si="0">IF($N$5="Yes","Show","")</f>
        <v/>
      </c>
      <c r="M22" s="2" t="s">
        <v>715</v>
      </c>
      <c r="N22" s="2"/>
      <c r="O22" s="2"/>
      <c r="P22" s="2"/>
      <c r="Q22" s="2"/>
      <c r="R22" s="2"/>
      <c r="S22" s="37"/>
      <c r="T22" s="2"/>
      <c r="U22" s="1"/>
      <c r="V22" s="98"/>
      <c r="W22" s="1"/>
      <c r="X22" s="1"/>
      <c r="Y22" s="98"/>
      <c r="Z22" s="1"/>
    </row>
    <row r="23" spans="1:26" ht="16">
      <c r="A23" s="3"/>
      <c r="B23" s="121" t="s">
        <v>716</v>
      </c>
      <c r="C23" s="105">
        <f ca="1">INDIRECT("'MeritBonus'!"&amp;"BC"&amp;$N$3)</f>
        <v>0</v>
      </c>
      <c r="D23" s="122"/>
      <c r="E23" s="2"/>
      <c r="F23" s="3"/>
      <c r="G23" s="3"/>
      <c r="H23" s="2"/>
      <c r="I23" s="2"/>
      <c r="J23" s="2"/>
      <c r="K23" s="2"/>
      <c r="L23" s="83" t="str">
        <f t="shared" ca="1" si="0"/>
        <v/>
      </c>
      <c r="M23" s="2" t="s">
        <v>715</v>
      </c>
      <c r="N23" s="2"/>
      <c r="O23" s="2"/>
      <c r="P23" s="2"/>
      <c r="Q23" s="2"/>
      <c r="R23" s="2"/>
      <c r="S23" s="37"/>
      <c r="T23" s="2"/>
      <c r="U23" s="1"/>
      <c r="V23" s="98"/>
      <c r="W23" s="1"/>
      <c r="X23" s="1"/>
      <c r="Y23" s="98"/>
      <c r="Z23" s="1"/>
    </row>
    <row r="24" spans="1:26" ht="16">
      <c r="A24" s="3"/>
      <c r="B24" s="121" t="s">
        <v>710</v>
      </c>
      <c r="C24" s="106" t="str">
        <f ca="1">TEXT(INDIRECT("'MeritBonus'!"&amp;"T"&amp;$N$3),"#,##0")&amp;" "&amp;INDIRECT("'MeritBonus'!"&amp;"S"&amp;$N$3)</f>
        <v>70,000 AUD</v>
      </c>
      <c r="D24" s="122"/>
      <c r="E24" s="2"/>
      <c r="F24" s="3"/>
      <c r="G24" s="3"/>
      <c r="H24" s="2"/>
      <c r="I24" s="2"/>
      <c r="J24" s="2"/>
      <c r="K24" s="2"/>
      <c r="L24" s="83" t="str">
        <f t="shared" ca="1" si="0"/>
        <v/>
      </c>
      <c r="M24" s="2" t="s">
        <v>715</v>
      </c>
      <c r="N24" s="2"/>
      <c r="O24" s="2"/>
      <c r="P24" s="2"/>
      <c r="Q24" s="2"/>
      <c r="R24" s="2"/>
      <c r="S24" s="37"/>
      <c r="T24" s="2"/>
      <c r="U24" s="1"/>
      <c r="V24" s="98"/>
      <c r="W24" s="1"/>
      <c r="X24" s="1"/>
      <c r="Y24" s="98"/>
      <c r="Z24" s="1"/>
    </row>
    <row r="25" spans="1:26" ht="16">
      <c r="A25" s="3"/>
      <c r="B25" s="121" t="s">
        <v>717</v>
      </c>
      <c r="C25" s="107" t="str">
        <f ca="1">TEXT(INDIRECT("'MeritBonus'!"&amp;"BD"&amp;$N$3),"#,##0.00%")</f>
        <v>0.00%</v>
      </c>
      <c r="D25" s="122"/>
      <c r="E25" s="2"/>
      <c r="F25" s="3"/>
      <c r="G25" s="3"/>
      <c r="H25" s="2"/>
      <c r="I25" s="2"/>
      <c r="J25" s="2"/>
      <c r="K25" s="2"/>
      <c r="L25" s="83" t="str">
        <f t="shared" ca="1" si="0"/>
        <v/>
      </c>
      <c r="M25" s="2" t="s">
        <v>715</v>
      </c>
      <c r="N25" s="2"/>
      <c r="O25" s="2"/>
      <c r="P25" s="2"/>
      <c r="Q25" s="2"/>
      <c r="R25" s="2"/>
      <c r="S25" s="37"/>
      <c r="T25" s="2"/>
      <c r="U25" s="1"/>
      <c r="V25" s="98"/>
      <c r="W25" s="1"/>
      <c r="X25" s="1"/>
      <c r="Y25" s="98"/>
      <c r="Z25" s="1"/>
    </row>
    <row r="26" spans="1:26" ht="16">
      <c r="A26" s="3"/>
      <c r="B26" s="121" t="s">
        <v>718</v>
      </c>
      <c r="C26" s="106" t="str">
        <f ca="1">TEXT(INDIRECT("'MeritBonus'!"&amp;"BE"&amp;$N$3),"#,##0")&amp;" "&amp;INDIRECT("'MeritBonus'!"&amp;"S"&amp;$N$3)</f>
        <v xml:space="preserve"> AUD</v>
      </c>
      <c r="D26" s="122"/>
      <c r="E26" s="2"/>
      <c r="F26" s="3"/>
      <c r="G26" s="3"/>
      <c r="H26" s="2"/>
      <c r="I26" s="2"/>
      <c r="J26" s="2"/>
      <c r="K26" s="2"/>
      <c r="L26" s="83" t="str">
        <f t="shared" ca="1" si="0"/>
        <v/>
      </c>
      <c r="M26" s="2" t="s">
        <v>715</v>
      </c>
      <c r="N26" s="2"/>
      <c r="O26" s="2"/>
      <c r="P26" s="2"/>
      <c r="Q26" s="2"/>
      <c r="R26" s="2"/>
      <c r="S26" s="37"/>
      <c r="T26" s="2"/>
      <c r="U26" s="1"/>
      <c r="V26" s="98"/>
      <c r="W26" s="1"/>
      <c r="X26" s="1"/>
      <c r="Y26" s="98"/>
      <c r="Z26" s="1"/>
    </row>
    <row r="27" spans="1:26" ht="16">
      <c r="A27" s="3"/>
      <c r="B27" s="121" t="s">
        <v>719</v>
      </c>
      <c r="C27" s="106" t="str">
        <f ca="1">TEXT(INDIRECT("'MeritBonus'!"&amp;"BM"&amp;$N$3),"#,##0")&amp;" "&amp;INDIRECT("'MeritBonus'!"&amp;"S"&amp;$N$3)</f>
        <v>70,000 AUD</v>
      </c>
      <c r="D27" s="122"/>
      <c r="E27" s="2"/>
      <c r="F27" s="3"/>
      <c r="G27" s="3"/>
      <c r="H27" s="2"/>
      <c r="I27" s="2"/>
      <c r="J27" s="2"/>
      <c r="K27" s="2"/>
      <c r="L27" s="83" t="str">
        <f t="shared" ca="1" si="0"/>
        <v/>
      </c>
      <c r="M27" s="2" t="s">
        <v>715</v>
      </c>
      <c r="N27" s="2"/>
      <c r="O27" s="2"/>
      <c r="P27" s="2"/>
      <c r="Q27" s="2"/>
      <c r="R27" s="2"/>
      <c r="S27" s="37"/>
      <c r="T27" s="2"/>
      <c r="U27" s="1"/>
      <c r="V27" s="98"/>
      <c r="W27" s="1"/>
      <c r="X27" s="1"/>
      <c r="Y27" s="98"/>
      <c r="Z27" s="1"/>
    </row>
    <row r="28" spans="1:26" ht="16">
      <c r="A28" s="3"/>
      <c r="B28" s="121" t="s">
        <v>720</v>
      </c>
      <c r="C28" s="107" t="str">
        <f ca="1">TEXT(INDIRECT("'MeritBonus'!"&amp;"BH"&amp;$N$3),"#,##0%")</f>
        <v/>
      </c>
      <c r="D28" s="122"/>
      <c r="E28" s="2"/>
      <c r="F28" s="3"/>
      <c r="G28" s="3"/>
      <c r="H28" s="2"/>
      <c r="I28" s="2"/>
      <c r="J28" s="2"/>
      <c r="K28" s="2"/>
      <c r="L28" s="83" t="str">
        <f ca="1">IF(AND(INDIRECT("'MeritBonus'!"&amp;"BH"&amp;$N$3)&lt;&gt;"",INDIRECT("'MeritBonus'!"&amp;"BH"&amp;$N$3)&gt;0),"Show","")</f>
        <v/>
      </c>
      <c r="M28" s="2" t="s">
        <v>721</v>
      </c>
      <c r="N28" s="2"/>
      <c r="O28" s="2"/>
      <c r="P28" s="2"/>
      <c r="Q28" s="2"/>
      <c r="R28" s="2"/>
      <c r="S28" s="37"/>
      <c r="T28" s="2"/>
      <c r="U28" s="1"/>
      <c r="V28" s="98"/>
      <c r="W28" s="1"/>
      <c r="X28" s="1"/>
      <c r="Y28" s="98"/>
      <c r="Z28" s="1"/>
    </row>
    <row r="29" spans="1:26" ht="16">
      <c r="A29" s="3"/>
      <c r="B29" s="123" t="s">
        <v>722</v>
      </c>
      <c r="C29" s="119" t="str">
        <f ca="1">TEXT(INDIRECT("'MeritBonus'!"&amp;"BI"&amp;$N$3),"#,##0%")</f>
        <v/>
      </c>
      <c r="D29" s="125"/>
      <c r="E29" s="2"/>
      <c r="F29" s="3"/>
      <c r="G29" s="3"/>
      <c r="H29" s="2"/>
      <c r="I29" s="2"/>
      <c r="J29" s="2"/>
      <c r="K29" s="2"/>
      <c r="L29" s="83" t="str">
        <f ca="1">IF(AND(INDIRECT("'MeritBonus'!"&amp;"BI"&amp;$N$3)&lt;&gt;"",INDIRECT("'MeritBonus'!"&amp;"BI"&amp;$N$3)&gt;0),"Show","")</f>
        <v/>
      </c>
      <c r="M29" s="2" t="s">
        <v>723</v>
      </c>
      <c r="N29" s="2"/>
      <c r="O29" s="2"/>
      <c r="P29" s="2"/>
      <c r="Q29" s="2"/>
      <c r="R29" s="2"/>
      <c r="S29" s="37"/>
      <c r="T29" s="2"/>
      <c r="U29" s="1"/>
      <c r="V29" s="98"/>
      <c r="W29" s="1"/>
      <c r="X29" s="1"/>
      <c r="Y29" s="98"/>
      <c r="Z29" s="1"/>
    </row>
    <row r="30" spans="1:26">
      <c r="A30" s="16"/>
      <c r="B30" s="103"/>
      <c r="C30" s="104"/>
      <c r="D30" s="104"/>
      <c r="E30" s="2"/>
      <c r="F30" s="3"/>
      <c r="G30" s="16"/>
      <c r="H30" s="2"/>
      <c r="I30" s="2"/>
      <c r="J30" s="2"/>
      <c r="K30" s="2"/>
      <c r="L30" s="83" t="str">
        <f ca="1">IF($N$5="Yes","Show","")</f>
        <v/>
      </c>
      <c r="M30" s="2" t="s">
        <v>715</v>
      </c>
      <c r="N30" s="2"/>
      <c r="O30" s="2"/>
      <c r="P30" s="2"/>
      <c r="Q30" s="2"/>
      <c r="R30" s="2"/>
      <c r="S30" s="37"/>
      <c r="T30" s="2"/>
      <c r="U30" s="1"/>
      <c r="V30" s="98"/>
      <c r="W30" s="1"/>
      <c r="X30" s="1"/>
      <c r="Y30" s="98"/>
      <c r="Z30" s="1"/>
    </row>
    <row r="31" spans="1:26" ht="16">
      <c r="A31" s="3"/>
      <c r="B31" s="299" t="s">
        <v>724</v>
      </c>
      <c r="C31" s="299"/>
      <c r="D31" s="299"/>
      <c r="E31" s="2"/>
      <c r="F31" s="3"/>
      <c r="G31" s="3"/>
      <c r="H31" s="2"/>
      <c r="I31" s="2"/>
      <c r="J31" s="2"/>
      <c r="K31" s="2"/>
      <c r="L31" s="83" t="str">
        <f ca="1">IF($N$6="Yes","Show","")</f>
        <v>Show</v>
      </c>
      <c r="M31" s="2" t="s">
        <v>725</v>
      </c>
      <c r="N31" s="2"/>
      <c r="O31" s="2"/>
      <c r="P31" s="2"/>
      <c r="Q31" s="2"/>
      <c r="R31" s="2"/>
      <c r="S31" s="37"/>
      <c r="T31" s="2"/>
      <c r="U31" s="1"/>
      <c r="V31" s="98"/>
      <c r="W31" s="1"/>
      <c r="X31" s="1"/>
      <c r="Y31" s="98"/>
      <c r="Z31" s="1"/>
    </row>
    <row r="32" spans="1:26" ht="16">
      <c r="A32" s="3"/>
      <c r="B32" s="121" t="s">
        <v>726</v>
      </c>
      <c r="C32" s="107" t="str">
        <f ca="1">TEXT(INDIRECT("'MeritBonus'!"&amp;"BP"&amp;$N$3),"#,##0%")</f>
        <v>5%</v>
      </c>
      <c r="D32" s="122"/>
      <c r="E32" s="2"/>
      <c r="F32" s="3"/>
      <c r="G32" s="3"/>
      <c r="H32" s="2"/>
      <c r="I32" s="2"/>
      <c r="J32" s="2"/>
      <c r="K32" s="2"/>
      <c r="L32" s="83" t="str">
        <f ca="1">IF($N$6="Yes","Show","")</f>
        <v>Show</v>
      </c>
      <c r="M32" s="2" t="s">
        <v>725</v>
      </c>
      <c r="N32" s="2"/>
      <c r="O32" s="2"/>
      <c r="P32" s="2"/>
      <c r="Q32" s="2"/>
      <c r="R32" s="2"/>
      <c r="S32" s="37"/>
      <c r="T32" s="2"/>
      <c r="U32" s="1"/>
      <c r="V32" s="98"/>
      <c r="W32" s="1"/>
      <c r="X32" s="1"/>
      <c r="Y32" s="98"/>
      <c r="Z32" s="1"/>
    </row>
    <row r="33" spans="1:26" ht="16">
      <c r="A33" s="3"/>
      <c r="B33" s="121" t="s">
        <v>727</v>
      </c>
      <c r="C33" s="107" t="str">
        <f ca="1">TEXT(INDIRECT("'MeritBonus'!"&amp;"BR"&amp;$N$3),"#,##0.00%")</f>
        <v>2.50%</v>
      </c>
      <c r="D33" s="122"/>
      <c r="E33" s="2"/>
      <c r="F33" s="3"/>
      <c r="G33" s="3"/>
      <c r="H33" s="2"/>
      <c r="I33" s="2"/>
      <c r="J33" s="2"/>
      <c r="K33" s="2"/>
      <c r="L33" s="83" t="str">
        <f ca="1">IF(AND($N$6="Yes",$N$7="Yes"),"Show","")</f>
        <v>Show</v>
      </c>
      <c r="M33" s="2" t="s">
        <v>728</v>
      </c>
      <c r="N33" s="2"/>
      <c r="O33" s="2"/>
      <c r="P33" s="2"/>
      <c r="Q33" s="2"/>
      <c r="R33" s="2"/>
      <c r="S33" s="37"/>
      <c r="T33" s="2"/>
      <c r="U33" s="1"/>
      <c r="V33" s="98"/>
      <c r="W33" s="1"/>
      <c r="X33" s="1"/>
      <c r="Y33" s="98"/>
      <c r="Z33" s="1"/>
    </row>
    <row r="34" spans="1:26" ht="15">
      <c r="A34" s="3"/>
      <c r="B34" s="117" t="s">
        <v>729</v>
      </c>
      <c r="C34" s="107" t="str">
        <f ca="1">TEXT(INDIRECT("'MeritBonus'!"&amp;"BU"&amp;$N$3),"#,##0%")</f>
        <v>100%</v>
      </c>
      <c r="D34" s="126"/>
      <c r="E34" s="2"/>
      <c r="F34" s="3"/>
      <c r="G34" s="3"/>
      <c r="H34" s="2"/>
      <c r="I34" s="2"/>
      <c r="J34" s="2"/>
      <c r="K34" s="2"/>
      <c r="L34" s="83" t="str">
        <f ca="1">IF($N$6="Yes","Show","")</f>
        <v>Show</v>
      </c>
      <c r="M34" s="2" t="s">
        <v>725</v>
      </c>
      <c r="N34" s="2"/>
      <c r="O34" s="2"/>
      <c r="P34" s="2"/>
      <c r="Q34" s="2"/>
      <c r="R34" s="2"/>
      <c r="S34" s="37"/>
      <c r="T34" s="2"/>
      <c r="U34" s="1"/>
      <c r="V34" s="98"/>
      <c r="W34" s="1"/>
      <c r="X34" s="1"/>
      <c r="Y34" s="98"/>
      <c r="Z34" s="1"/>
    </row>
    <row r="35" spans="1:26" ht="16">
      <c r="A35" s="3"/>
      <c r="B35" s="123" t="s">
        <v>730</v>
      </c>
      <c r="C35" s="124" t="str">
        <f ca="1">TEXT(INDIRECT("'MeritBonus'!"&amp;"BR"&amp;$N$3),"#,##0")&amp;" "&amp;INDIRECT("'MeritBonus'!"&amp;"S"&amp;$N$3)</f>
        <v>0 AUD</v>
      </c>
      <c r="D35" s="125"/>
      <c r="E35" s="2"/>
      <c r="F35" s="3"/>
      <c r="G35" s="3"/>
      <c r="H35" s="2"/>
      <c r="I35" s="2"/>
      <c r="J35" s="2"/>
      <c r="K35" s="2"/>
      <c r="L35" s="83" t="str">
        <f ca="1">IF($N$6="Yes","Show","")</f>
        <v>Show</v>
      </c>
      <c r="M35" s="2" t="s">
        <v>725</v>
      </c>
      <c r="N35" s="2"/>
      <c r="O35" s="2"/>
      <c r="P35" s="2"/>
      <c r="Q35" s="2"/>
      <c r="R35" s="2"/>
      <c r="S35" s="37"/>
      <c r="T35" s="2"/>
      <c r="U35" s="1"/>
      <c r="V35" s="98"/>
      <c r="W35" s="1"/>
      <c r="X35" s="1"/>
      <c r="Y35" s="98"/>
      <c r="Z35" s="1"/>
    </row>
    <row r="36" spans="1:26">
      <c r="A36" s="16"/>
      <c r="B36" s="17"/>
      <c r="C36" s="18"/>
      <c r="D36" s="18"/>
      <c r="E36" s="16"/>
      <c r="F36" s="3"/>
      <c r="G36" s="16"/>
      <c r="H36" s="2"/>
      <c r="I36" s="2"/>
      <c r="J36" s="2"/>
      <c r="K36" s="2"/>
      <c r="L36" s="83" t="str">
        <f ca="1">IF($N$6="Yes","Show","")</f>
        <v>Show</v>
      </c>
      <c r="M36" s="2" t="s">
        <v>725</v>
      </c>
      <c r="N36" s="2"/>
      <c r="O36" s="2"/>
      <c r="P36" s="2"/>
      <c r="Q36" s="2"/>
      <c r="R36" s="2"/>
      <c r="S36" s="37"/>
      <c r="T36" s="2"/>
      <c r="U36" s="1"/>
      <c r="V36" s="98"/>
      <c r="W36" s="1"/>
      <c r="X36" s="1"/>
      <c r="Y36" s="98"/>
      <c r="Z36" s="1"/>
    </row>
    <row r="37" spans="1:26" ht="16">
      <c r="A37" s="3"/>
      <c r="B37" s="299" t="s">
        <v>666</v>
      </c>
      <c r="C37" s="299"/>
      <c r="D37" s="299"/>
      <c r="E37" s="2"/>
      <c r="F37" s="3"/>
      <c r="G37" s="3"/>
      <c r="H37" s="2"/>
      <c r="I37" s="2"/>
      <c r="J37" s="2"/>
      <c r="K37" s="2"/>
      <c r="L37" s="83" t="str">
        <f ca="1">IF($N$8="Yes","Show","")</f>
        <v/>
      </c>
      <c r="M37" s="2" t="s">
        <v>731</v>
      </c>
      <c r="N37" s="2"/>
      <c r="O37" s="2"/>
      <c r="P37" s="2"/>
      <c r="Q37" s="2"/>
      <c r="R37" s="2"/>
      <c r="S37" s="37"/>
      <c r="T37" s="2"/>
      <c r="U37" s="1"/>
      <c r="V37" s="98"/>
      <c r="W37" s="1"/>
      <c r="X37" s="1"/>
      <c r="Y37" s="98"/>
      <c r="Z37" s="1"/>
    </row>
    <row r="38" spans="1:26" ht="16">
      <c r="A38" s="3"/>
      <c r="B38" s="123" t="s">
        <v>732</v>
      </c>
      <c r="C38" s="124" t="str">
        <f ca="1">TEXT(INDIRECT("'MeritBonus'!"&amp;"CB"&amp;$N$3),"#,##0")</f>
        <v>0</v>
      </c>
      <c r="D38" s="125"/>
      <c r="E38" s="2"/>
      <c r="F38" s="3"/>
      <c r="G38" s="3"/>
      <c r="H38" s="2"/>
      <c r="I38" s="2"/>
      <c r="J38" s="2"/>
      <c r="K38" s="2"/>
      <c r="L38" s="83" t="str">
        <f ca="1">IF($N$8="Yes","Show","")</f>
        <v/>
      </c>
      <c r="M38" s="2" t="s">
        <v>731</v>
      </c>
      <c r="N38" s="2"/>
      <c r="O38" s="2"/>
      <c r="P38" s="2"/>
      <c r="Q38" s="2"/>
      <c r="R38" s="2"/>
      <c r="S38" s="37"/>
      <c r="T38" s="2"/>
      <c r="U38" s="1"/>
      <c r="V38" s="98"/>
      <c r="W38" s="1"/>
      <c r="X38" s="1"/>
      <c r="Y38" s="98"/>
      <c r="Z38" s="1"/>
    </row>
    <row r="39" spans="1:26">
      <c r="A39" s="16"/>
      <c r="B39" s="17"/>
      <c r="C39" s="18"/>
      <c r="D39" s="18"/>
      <c r="E39" s="16"/>
      <c r="F39" s="3"/>
      <c r="G39" s="16"/>
      <c r="H39" s="2"/>
      <c r="I39" s="2"/>
      <c r="J39" s="2"/>
      <c r="K39" s="2"/>
      <c r="L39" s="83" t="str">
        <f ca="1">IF($N$8="Yes","Show","")</f>
        <v/>
      </c>
      <c r="M39" s="2" t="s">
        <v>731</v>
      </c>
      <c r="N39" s="2"/>
      <c r="O39" s="2"/>
      <c r="P39" s="2"/>
      <c r="Q39" s="2"/>
      <c r="R39" s="2"/>
      <c r="S39" s="37"/>
      <c r="T39" s="2"/>
      <c r="U39" s="1"/>
      <c r="V39" s="98"/>
      <c r="W39" s="1"/>
      <c r="X39" s="1"/>
      <c r="Y39" s="98"/>
      <c r="Z39" s="1"/>
    </row>
    <row r="40" spans="1:26">
      <c r="A40" s="16"/>
      <c r="B40" s="108" t="s">
        <v>733</v>
      </c>
      <c r="C40" s="110"/>
      <c r="D40" s="110"/>
      <c r="E40" s="16"/>
      <c r="F40" s="3"/>
      <c r="G40" s="16"/>
      <c r="H40" s="2"/>
      <c r="I40" s="2"/>
      <c r="J40" s="2"/>
      <c r="K40" s="2"/>
      <c r="L40" s="83" t="str">
        <f ca="1">IF($N$4="Yes","Show","")</f>
        <v>Show</v>
      </c>
      <c r="M40" s="2" t="s">
        <v>709</v>
      </c>
      <c r="N40" s="2"/>
      <c r="O40" s="2"/>
      <c r="P40" s="2"/>
      <c r="Q40" s="2"/>
      <c r="R40" s="2"/>
      <c r="S40" s="37"/>
      <c r="T40" s="2"/>
      <c r="U40" s="1"/>
      <c r="V40" s="98"/>
      <c r="W40" s="1"/>
      <c r="X40" s="1"/>
      <c r="Y40" s="98"/>
      <c r="Z40" s="1"/>
    </row>
    <row r="41" spans="1:26" ht="15">
      <c r="A41" s="9"/>
      <c r="B41" s="39"/>
      <c r="C41" s="300" t="s">
        <v>734</v>
      </c>
      <c r="D41" s="300"/>
      <c r="E41" s="9"/>
      <c r="F41" s="3"/>
      <c r="G41" s="9"/>
      <c r="H41" s="2"/>
      <c r="I41" s="2"/>
      <c r="J41" s="2"/>
      <c r="K41" s="2"/>
      <c r="L41" s="3" t="s">
        <v>664</v>
      </c>
      <c r="M41" s="2"/>
      <c r="N41" s="2"/>
      <c r="O41" s="2"/>
      <c r="P41" s="2"/>
      <c r="Q41" s="2"/>
      <c r="R41" s="2"/>
      <c r="S41" s="37"/>
      <c r="T41" s="2"/>
      <c r="U41" s="1"/>
      <c r="V41" s="98"/>
      <c r="W41" s="1"/>
      <c r="X41" s="1"/>
      <c r="Y41" s="98"/>
      <c r="Z41" s="1"/>
    </row>
    <row r="42" spans="1:26">
      <c r="A42" s="16"/>
      <c r="B42" s="109"/>
      <c r="C42" s="300"/>
      <c r="D42" s="300"/>
      <c r="E42" s="16"/>
      <c r="F42" s="3"/>
      <c r="G42" s="16"/>
      <c r="H42" s="2"/>
      <c r="I42" s="2"/>
      <c r="J42" s="2"/>
      <c r="K42" s="2"/>
      <c r="L42" s="3" t="s">
        <v>664</v>
      </c>
      <c r="M42" s="2"/>
      <c r="N42" s="2"/>
      <c r="O42" s="2"/>
      <c r="P42" s="2"/>
      <c r="Q42" s="2"/>
      <c r="R42" s="2"/>
      <c r="S42" s="37"/>
      <c r="T42" s="2"/>
      <c r="U42" s="1"/>
      <c r="V42" s="98"/>
      <c r="W42" s="1"/>
      <c r="X42" s="1"/>
      <c r="Y42" s="98"/>
      <c r="Z42" s="1"/>
    </row>
    <row r="43" spans="1:26" ht="15">
      <c r="A43" s="16"/>
      <c r="B43" s="109"/>
      <c r="C43" s="111"/>
      <c r="D43" s="111"/>
      <c r="E43" s="16"/>
      <c r="F43" s="3"/>
      <c r="G43" s="16"/>
      <c r="H43" s="2"/>
      <c r="I43" s="2"/>
      <c r="J43" s="2"/>
      <c r="K43" s="2"/>
      <c r="L43" s="3" t="s">
        <v>664</v>
      </c>
      <c r="M43" s="2"/>
      <c r="N43" s="2"/>
      <c r="O43" s="2"/>
      <c r="P43" s="2"/>
      <c r="Q43" s="2"/>
      <c r="R43" s="2"/>
      <c r="S43" s="37"/>
      <c r="T43" s="2"/>
      <c r="U43" s="1"/>
      <c r="V43" s="98"/>
      <c r="W43" s="1"/>
      <c r="X43" s="1"/>
      <c r="Y43" s="98"/>
      <c r="Z43" s="1"/>
    </row>
    <row r="44" spans="1:26">
      <c r="A44" s="9"/>
      <c r="B44" s="301" t="s">
        <v>735</v>
      </c>
      <c r="C44" s="301"/>
      <c r="D44" s="301"/>
      <c r="E44" s="9"/>
      <c r="F44" s="3"/>
      <c r="G44" s="9"/>
      <c r="H44" s="2"/>
      <c r="I44" s="2"/>
      <c r="J44" s="2"/>
      <c r="K44" s="2"/>
      <c r="L44" s="83" t="str">
        <f ca="1">IF($N$6="Yes","Show","")</f>
        <v>Show</v>
      </c>
      <c r="M44" s="2" t="s">
        <v>725</v>
      </c>
      <c r="N44" s="2"/>
      <c r="O44" s="2"/>
      <c r="P44" s="2"/>
      <c r="Q44" s="2"/>
      <c r="R44" s="2"/>
      <c r="S44" s="37"/>
      <c r="T44" s="2"/>
      <c r="U44" s="1"/>
      <c r="V44" s="98"/>
      <c r="W44" s="1"/>
      <c r="X44" s="1"/>
      <c r="Y44" s="98"/>
      <c r="Z44" s="1"/>
    </row>
    <row r="45" spans="1:26">
      <c r="A45" s="16"/>
      <c r="B45" s="109"/>
      <c r="C45" s="110"/>
      <c r="D45" s="110"/>
      <c r="E45" s="16"/>
      <c r="F45" s="3"/>
      <c r="G45" s="16"/>
      <c r="H45" s="2"/>
      <c r="I45" s="2"/>
      <c r="J45" s="2"/>
      <c r="K45" s="2"/>
      <c r="L45" s="3" t="s">
        <v>664</v>
      </c>
      <c r="M45" s="2"/>
      <c r="N45" s="2"/>
      <c r="O45" s="2"/>
      <c r="P45" s="2"/>
      <c r="Q45" s="2"/>
      <c r="R45" s="2"/>
      <c r="S45" s="37"/>
      <c r="T45" s="2"/>
      <c r="U45" s="1"/>
      <c r="V45" s="98"/>
      <c r="W45" s="1"/>
      <c r="X45" s="1"/>
      <c r="Y45" s="98"/>
      <c r="Z45" s="1"/>
    </row>
    <row r="46" spans="1:26">
      <c r="A46" s="9"/>
      <c r="B46" s="301" t="s">
        <v>736</v>
      </c>
      <c r="C46" s="301"/>
      <c r="D46" s="301"/>
      <c r="E46" s="9"/>
      <c r="F46" s="3"/>
      <c r="G46" s="9"/>
      <c r="H46" s="2"/>
      <c r="I46" s="2"/>
      <c r="J46" s="2"/>
      <c r="K46" s="2"/>
      <c r="L46" s="3" t="s">
        <v>664</v>
      </c>
      <c r="M46" s="2"/>
      <c r="N46" s="2"/>
      <c r="O46" s="2"/>
      <c r="P46" s="2"/>
      <c r="Q46" s="2"/>
      <c r="R46" s="2"/>
      <c r="S46" s="37"/>
      <c r="T46" s="2"/>
      <c r="U46" s="1"/>
      <c r="V46" s="98"/>
      <c r="W46" s="1"/>
      <c r="X46" s="1"/>
      <c r="Y46" s="98"/>
      <c r="Z46" s="1"/>
    </row>
  </sheetData>
  <mergeCells count="15">
    <mergeCell ref="B2:D2"/>
    <mergeCell ref="B3:D3"/>
    <mergeCell ref="B4:D4"/>
    <mergeCell ref="B8:D8"/>
    <mergeCell ref="B9:D9"/>
    <mergeCell ref="B10:D10"/>
    <mergeCell ref="B13:D13"/>
    <mergeCell ref="B16:D16"/>
    <mergeCell ref="B22:D22"/>
    <mergeCell ref="B31:D31"/>
    <mergeCell ref="B37:D37"/>
    <mergeCell ref="C41:C42"/>
    <mergeCell ref="D41:D42"/>
    <mergeCell ref="B44:D44"/>
    <mergeCell ref="B46:D46"/>
  </mergeCells>
  <conditionalFormatting sqref="C11">
    <cfRule type="cellIs" dxfId="5" priority="1" operator="equal">
      <formula>"Below"</formula>
    </cfRule>
    <cfRule type="cellIs" dxfId="4" priority="2" operator="equal">
      <formula>"Exceeds"</formula>
    </cfRule>
    <cfRule type="cellIs" dxfId="3" priority="3" operator="equal">
      <formula>"Meets"</formula>
    </cfRule>
  </conditionalFormatting>
  <dataValidations count="1">
    <dataValidation type="decimal" operator="lessThanOrEqual" allowBlank="1" showErrorMessage="1" sqref="C12 C21 C15" xr:uid="{00000000-0002-0000-0500-000000000000}">
      <formula1>0.06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6"/>
  <sheetViews>
    <sheetView workbookViewId="0"/>
  </sheetViews>
  <sheetFormatPr baseColWidth="10" defaultRowHeight="14"/>
  <cols>
    <col min="1" max="1" width="2.6640625" customWidth="1"/>
    <col min="2" max="2" width="17.1640625" customWidth="1"/>
    <col min="3" max="3" width="9.1640625" customWidth="1"/>
    <col min="4" max="4" width="6.1640625" customWidth="1"/>
    <col min="5" max="5" width="12.6640625" customWidth="1"/>
    <col min="6" max="6" width="4.83203125" customWidth="1"/>
    <col min="7" max="7" width="16.6640625" customWidth="1"/>
    <col min="8" max="8" width="13.83203125" customWidth="1"/>
    <col min="9" max="9" width="15.83203125" customWidth="1"/>
    <col min="10" max="11" width="3.83203125" customWidth="1"/>
    <col min="12" max="12" width="9.1640625" customWidth="1"/>
    <col min="13" max="13" width="34.83203125" customWidth="1"/>
    <col min="14" max="14" width="13.6640625" customWidth="1"/>
    <col min="15" max="15" width="7.83203125" customWidth="1"/>
    <col min="16" max="17" width="8.1640625" customWidth="1"/>
    <col min="18" max="20" width="21.6640625" customWidth="1"/>
    <col min="21" max="26" width="9.1640625" customWidth="1"/>
  </cols>
  <sheetData>
    <row r="1" spans="1:26">
      <c r="A1" s="234"/>
      <c r="B1" s="234"/>
      <c r="C1" s="234"/>
      <c r="D1" s="234"/>
      <c r="E1" s="234"/>
      <c r="F1" s="234"/>
      <c r="G1" s="236"/>
      <c r="H1" s="236"/>
      <c r="I1" s="236"/>
      <c r="J1" s="236"/>
      <c r="K1" s="236"/>
      <c r="L1" s="234" t="s">
        <v>689</v>
      </c>
      <c r="M1" s="236"/>
      <c r="N1" s="236"/>
      <c r="O1" s="234"/>
      <c r="P1" s="234"/>
      <c r="Q1" s="234"/>
      <c r="R1" s="234"/>
      <c r="S1" s="235"/>
      <c r="T1" s="234"/>
      <c r="U1" s="234"/>
      <c r="V1" s="235"/>
      <c r="W1" s="234"/>
      <c r="X1" s="234"/>
      <c r="Y1" s="235"/>
      <c r="Z1" s="234"/>
    </row>
    <row r="2" spans="1:26" ht="16">
      <c r="A2" s="3"/>
      <c r="B2" s="316" t="s">
        <v>690</v>
      </c>
      <c r="C2" s="316"/>
      <c r="D2" s="316"/>
      <c r="E2" s="316"/>
      <c r="F2" s="316"/>
      <c r="G2" s="316"/>
      <c r="H2" s="316"/>
      <c r="I2" s="316"/>
      <c r="J2" s="2"/>
      <c r="K2" s="2"/>
      <c r="L2" s="3" t="s">
        <v>737</v>
      </c>
      <c r="M2" s="81" t="s">
        <v>691</v>
      </c>
      <c r="N2" s="82">
        <v>497</v>
      </c>
      <c r="O2" s="2"/>
      <c r="P2" s="2"/>
      <c r="Q2" s="2" t="s">
        <v>11</v>
      </c>
      <c r="R2" s="2"/>
      <c r="S2" s="37"/>
      <c r="T2" s="2"/>
      <c r="U2" s="1"/>
      <c r="V2" s="98"/>
      <c r="W2" s="1"/>
      <c r="X2" s="1"/>
      <c r="Y2" s="98"/>
      <c r="Z2" s="1"/>
    </row>
    <row r="3" spans="1:26" ht="21">
      <c r="A3" s="3"/>
      <c r="B3" s="317" t="s">
        <v>738</v>
      </c>
      <c r="C3" s="317"/>
      <c r="D3" s="317"/>
      <c r="E3" s="317"/>
      <c r="F3" s="317"/>
      <c r="G3" s="317"/>
      <c r="H3" s="317"/>
      <c r="I3" s="317"/>
      <c r="J3" s="2"/>
      <c r="K3" s="2"/>
      <c r="L3" s="3" t="s">
        <v>737</v>
      </c>
      <c r="M3" s="81" t="s">
        <v>693</v>
      </c>
      <c r="N3" s="82">
        <f>IFERROR(MATCH(N2,MeritBonus!$A$1:$A$501,0),"Not Found")</f>
        <v>9</v>
      </c>
      <c r="O3" s="2"/>
      <c r="P3" s="2"/>
      <c r="Q3" s="2"/>
      <c r="R3" s="2"/>
      <c r="S3" s="37"/>
      <c r="T3" s="2"/>
      <c r="U3" s="1"/>
      <c r="V3" s="98"/>
      <c r="W3" s="1"/>
      <c r="X3" s="1"/>
      <c r="Y3" s="98"/>
      <c r="Z3" s="1"/>
    </row>
    <row r="4" spans="1:26">
      <c r="A4" s="207"/>
      <c r="B4" s="237"/>
      <c r="C4" s="237"/>
      <c r="D4" s="237"/>
      <c r="E4" s="237"/>
      <c r="F4" s="237"/>
      <c r="G4" s="237"/>
      <c r="H4" s="237"/>
      <c r="I4" s="208"/>
      <c r="J4" s="208"/>
      <c r="K4" s="208"/>
      <c r="L4" s="207" t="s">
        <v>737</v>
      </c>
      <c r="M4" s="210" t="s">
        <v>695</v>
      </c>
      <c r="N4" s="211" t="str">
        <f ca="1">INDIRECT("'MeritBonus'!"&amp;"AD"&amp;$N$3)</f>
        <v>Yes</v>
      </c>
      <c r="O4" s="208"/>
      <c r="P4" s="208"/>
      <c r="Q4" s="208"/>
      <c r="R4" s="208"/>
      <c r="S4" s="212"/>
      <c r="T4" s="208"/>
      <c r="U4" s="208"/>
      <c r="V4" s="212"/>
      <c r="W4" s="208"/>
      <c r="X4" s="208"/>
      <c r="Y4" s="212"/>
      <c r="Z4" s="208"/>
    </row>
    <row r="5" spans="1:26" ht="16">
      <c r="A5" s="3"/>
      <c r="B5" s="312" t="str">
        <f ca="1">"Name:  "&amp;INDIRECT("'MeritBonus'!"&amp;"G"&amp;$N$3)</f>
        <v>Name:  Jimmy Mcmulin</v>
      </c>
      <c r="C5" s="312"/>
      <c r="D5" s="312"/>
      <c r="E5" s="312"/>
      <c r="F5" s="221"/>
      <c r="G5" s="312" t="str">
        <f ca="1">"Manager:  "&amp;INDIRECT("'MeritBonus'!"&amp;"M"&amp;$N$3)</f>
        <v>Manager:  Todd Falco</v>
      </c>
      <c r="H5" s="312"/>
      <c r="I5" s="312"/>
      <c r="J5" s="2"/>
      <c r="K5" s="2"/>
      <c r="L5" s="3" t="s">
        <v>737</v>
      </c>
      <c r="M5" s="81" t="s">
        <v>699</v>
      </c>
      <c r="N5" s="82" t="str">
        <f ca="1">INDIRECT("'MeritBonus'!"&amp;"BA"&amp;$N$3)</f>
        <v>No</v>
      </c>
      <c r="O5" s="2"/>
      <c r="P5" s="2"/>
      <c r="Q5" s="2"/>
      <c r="R5" s="2"/>
      <c r="S5" s="37"/>
      <c r="T5" s="2"/>
      <c r="U5" s="1"/>
      <c r="V5" s="98"/>
      <c r="W5" s="1"/>
      <c r="X5" s="1"/>
      <c r="Y5" s="98"/>
      <c r="Z5" s="1"/>
    </row>
    <row r="6" spans="1:26">
      <c r="A6" s="207"/>
      <c r="B6" s="208"/>
      <c r="C6" s="209"/>
      <c r="D6" s="208"/>
      <c r="E6" s="208"/>
      <c r="F6" s="208"/>
      <c r="G6" s="207"/>
      <c r="H6" s="208"/>
      <c r="I6" s="208"/>
      <c r="J6" s="208"/>
      <c r="K6" s="208"/>
      <c r="L6" s="207" t="s">
        <v>737</v>
      </c>
      <c r="M6" s="210" t="s">
        <v>700</v>
      </c>
      <c r="N6" s="211" t="str">
        <f ca="1">INDIRECT("'MeritBonus'!"&amp;"BO"&amp;$N$3)</f>
        <v>Yes</v>
      </c>
      <c r="O6" s="208"/>
      <c r="P6" s="208"/>
      <c r="Q6" s="208"/>
      <c r="R6" s="208"/>
      <c r="S6" s="212"/>
      <c r="T6" s="208"/>
      <c r="U6" s="208"/>
      <c r="V6" s="212"/>
      <c r="W6" s="208"/>
      <c r="X6" s="208"/>
      <c r="Y6" s="212"/>
      <c r="Z6" s="208"/>
    </row>
    <row r="7" spans="1:26" ht="16">
      <c r="A7" s="3"/>
      <c r="B7" s="312" t="str">
        <f ca="1">"Currency:  "&amp;INDIRECT("'MeritBonus'!"&amp;"S"&amp;$N$3)</f>
        <v>Currency:  AUD</v>
      </c>
      <c r="C7" s="312"/>
      <c r="D7" s="312"/>
      <c r="E7" s="312"/>
      <c r="F7" s="221"/>
      <c r="G7" s="312" t="str">
        <f ca="1">"Job Family:  "&amp;INDIRECT("'MeritBonus'!"&amp;"H"&amp;$N$3)</f>
        <v>Job Family:  Accounting</v>
      </c>
      <c r="H7" s="312"/>
      <c r="I7" s="312"/>
      <c r="J7" s="2"/>
      <c r="K7" s="2"/>
      <c r="L7" s="3" t="s">
        <v>737</v>
      </c>
      <c r="M7" s="81"/>
      <c r="N7" s="82"/>
      <c r="O7" s="2"/>
      <c r="P7" s="2"/>
      <c r="Q7" s="2"/>
      <c r="R7" s="2"/>
      <c r="S7" s="37"/>
      <c r="T7" s="2"/>
      <c r="U7" s="1"/>
      <c r="V7" s="98"/>
      <c r="W7" s="1"/>
      <c r="X7" s="1"/>
      <c r="Y7" s="98"/>
      <c r="Z7" s="1"/>
    </row>
    <row r="8" spans="1:26">
      <c r="A8" s="207"/>
      <c r="B8" s="208"/>
      <c r="C8" s="208"/>
      <c r="D8" s="208"/>
      <c r="E8" s="208"/>
      <c r="F8" s="208"/>
      <c r="G8" s="208"/>
      <c r="H8" s="208"/>
      <c r="I8" s="208"/>
      <c r="J8" s="208"/>
      <c r="K8" s="208"/>
      <c r="L8" s="207" t="s">
        <v>737</v>
      </c>
      <c r="M8" s="210" t="s">
        <v>701</v>
      </c>
      <c r="N8" s="211">
        <f ca="1">INDIRECT("'MeritBonus'!"&amp;"BV"&amp;$N$3)</f>
        <v>1750</v>
      </c>
      <c r="O8" s="208"/>
      <c r="P8" s="208"/>
      <c r="Q8" s="208"/>
      <c r="R8" s="208"/>
      <c r="S8" s="212"/>
      <c r="T8" s="208"/>
      <c r="U8" s="208"/>
      <c r="V8" s="212"/>
      <c r="W8" s="208"/>
      <c r="X8" s="208"/>
      <c r="Y8" s="212"/>
      <c r="Z8" s="208"/>
    </row>
    <row r="9" spans="1:26" ht="15">
      <c r="A9" s="3"/>
      <c r="B9" s="315" t="str">
        <f ca="1">"Performance Rating: zzltspan style='font-family: Calibri;font-size: 11pt;color:#000000;font-weight:bold'zzgt"&amp;INDIRECT("'MeritBonus'!"&amp;"AG"&amp;$N$3)&amp;"zzlt/spanzzgt"</f>
        <v>Performance Rating: zzltspan style='font-family: Calibri;font-size: 11pt;color:#000000;font-weight:bold'zzgtExceedszzlt/spanzzgt</v>
      </c>
      <c r="C9" s="315"/>
      <c r="D9" s="315"/>
      <c r="E9" s="315"/>
      <c r="F9" s="315"/>
      <c r="G9" s="315"/>
      <c r="H9" s="315"/>
      <c r="I9" s="315"/>
      <c r="J9" s="2"/>
      <c r="K9" s="2"/>
      <c r="L9" s="3" t="s">
        <v>737</v>
      </c>
      <c r="M9" s="2" t="s">
        <v>739</v>
      </c>
      <c r="N9" s="2">
        <f ca="1">INDIRECT("'MeritBonus'!"&amp;"T"&amp;$N$3)</f>
        <v>70000</v>
      </c>
      <c r="O9" s="2"/>
      <c r="P9" s="2"/>
      <c r="Q9" s="2"/>
      <c r="R9" s="2"/>
      <c r="S9" s="37"/>
      <c r="T9" s="2"/>
      <c r="U9" s="1"/>
      <c r="V9" s="98"/>
      <c r="W9" s="1"/>
      <c r="X9" s="1"/>
      <c r="Y9" s="98"/>
      <c r="Z9" s="1"/>
    </row>
    <row r="10" spans="1:26">
      <c r="A10" s="207"/>
      <c r="B10" s="215"/>
      <c r="C10" s="215"/>
      <c r="D10" s="215"/>
      <c r="E10" s="207"/>
      <c r="F10" s="207"/>
      <c r="G10" s="207"/>
      <c r="H10" s="208"/>
      <c r="I10" s="208"/>
      <c r="J10" s="208"/>
      <c r="K10" s="208"/>
      <c r="L10" s="207" t="s">
        <v>737</v>
      </c>
      <c r="M10" s="208" t="s">
        <v>740</v>
      </c>
      <c r="N10" s="208">
        <f ca="1">INDIRECT("'MeritBonus'!"&amp;"BR"&amp;$N$3)</f>
        <v>2.5000000000000001E-2</v>
      </c>
      <c r="O10" s="208"/>
      <c r="P10" s="208"/>
      <c r="Q10" s="208"/>
      <c r="R10" s="208"/>
      <c r="S10" s="212"/>
      <c r="T10" s="208"/>
      <c r="U10" s="208"/>
      <c r="V10" s="212"/>
      <c r="W10" s="208"/>
      <c r="X10" s="208"/>
      <c r="Y10" s="212"/>
      <c r="Z10" s="208"/>
    </row>
    <row r="11" spans="1:26" ht="15">
      <c r="A11" s="3"/>
      <c r="B11" s="310" t="s">
        <v>741</v>
      </c>
      <c r="C11" s="310"/>
      <c r="D11" s="238"/>
      <c r="E11" s="205"/>
      <c r="F11" s="205"/>
      <c r="G11" s="205"/>
      <c r="H11" s="206"/>
      <c r="I11" s="206"/>
      <c r="J11" s="2"/>
      <c r="K11" s="2"/>
      <c r="L11" s="83" t="str">
        <f t="shared" ref="L11:L16" ca="1" si="0">IF($N$4="Yes","See","")</f>
        <v>See</v>
      </c>
      <c r="M11" s="2" t="s">
        <v>742</v>
      </c>
      <c r="N11" s="2">
        <f ca="1">SUM(N9:N10)</f>
        <v>70000.024999999994</v>
      </c>
      <c r="O11" s="2"/>
      <c r="P11" s="2"/>
      <c r="Q11" s="2"/>
      <c r="R11" s="2"/>
      <c r="S11" s="37"/>
      <c r="T11" s="2"/>
      <c r="U11" s="1"/>
      <c r="V11" s="98"/>
      <c r="W11" s="1"/>
      <c r="X11" s="1"/>
      <c r="Y11" s="98"/>
      <c r="Z11" s="1"/>
    </row>
    <row r="12" spans="1:26">
      <c r="A12" s="207"/>
      <c r="B12" s="215"/>
      <c r="C12" s="215"/>
      <c r="D12" s="215"/>
      <c r="E12" s="207"/>
      <c r="F12" s="207"/>
      <c r="G12" s="207"/>
      <c r="H12" s="208"/>
      <c r="I12" s="208"/>
      <c r="J12" s="208"/>
      <c r="K12" s="208"/>
      <c r="L12" s="218" t="str">
        <f t="shared" ca="1" si="0"/>
        <v>See</v>
      </c>
      <c r="M12" s="208" t="s">
        <v>709</v>
      </c>
      <c r="N12" s="208"/>
      <c r="O12" s="208"/>
      <c r="P12" s="208"/>
      <c r="Q12" s="208"/>
      <c r="R12" s="208"/>
      <c r="S12" s="212"/>
      <c r="T12" s="208"/>
      <c r="U12" s="208"/>
      <c r="V12" s="212"/>
      <c r="W12" s="208"/>
      <c r="X12" s="208"/>
      <c r="Y12" s="212"/>
      <c r="Z12" s="208"/>
    </row>
    <row r="13" spans="1:26" ht="15">
      <c r="A13" s="3"/>
      <c r="B13" s="308" t="s">
        <v>710</v>
      </c>
      <c r="C13" s="308"/>
      <c r="D13" s="1"/>
      <c r="E13" s="220" t="str">
        <f ca="1">TEXT(INDIRECT("'MeritBonus'!"&amp;"T"&amp;$N$3),"#,##0")&amp;" "&amp;INDIRECT("'MeritBonus'!"&amp;"S"&amp;$N$3)</f>
        <v>70,000 AUD</v>
      </c>
      <c r="F13" s="219"/>
      <c r="G13" s="314" t="s">
        <v>743</v>
      </c>
      <c r="H13" s="314"/>
      <c r="I13" s="232" t="str">
        <f ca="1">TEXT(INDIRECT("'MeritBonus'!"&amp;"AR"&amp;$N$3),"#,##0")&amp;" "&amp;INDIRECT("'MeritBonus'!"&amp;"S"&amp;$N$3)</f>
        <v>0 AUD</v>
      </c>
      <c r="J13" s="2"/>
      <c r="K13" s="2"/>
      <c r="L13" s="83" t="str">
        <f t="shared" ca="1" si="0"/>
        <v>See</v>
      </c>
      <c r="M13" s="2" t="s">
        <v>709</v>
      </c>
      <c r="N13" s="2"/>
      <c r="O13" s="2"/>
      <c r="P13" s="2"/>
      <c r="Q13" s="2"/>
      <c r="R13" s="2"/>
      <c r="S13" s="37"/>
      <c r="T13" s="2"/>
      <c r="U13" s="1"/>
      <c r="V13" s="98"/>
      <c r="W13" s="1"/>
      <c r="X13" s="1"/>
      <c r="Y13" s="98"/>
      <c r="Z13" s="1"/>
    </row>
    <row r="14" spans="1:26">
      <c r="A14" s="207"/>
      <c r="B14" s="215"/>
      <c r="C14" s="215"/>
      <c r="D14" s="208"/>
      <c r="E14" s="251"/>
      <c r="F14" s="215"/>
      <c r="G14" s="207"/>
      <c r="H14" s="208"/>
      <c r="I14" s="208"/>
      <c r="J14" s="208"/>
      <c r="K14" s="208"/>
      <c r="L14" s="218" t="str">
        <f t="shared" ca="1" si="0"/>
        <v>See</v>
      </c>
      <c r="M14" s="208" t="s">
        <v>709</v>
      </c>
      <c r="N14" s="208"/>
      <c r="O14" s="208"/>
      <c r="P14" s="208"/>
      <c r="Q14" s="208"/>
      <c r="R14" s="208"/>
      <c r="S14" s="212"/>
      <c r="T14" s="208"/>
      <c r="U14" s="208"/>
      <c r="V14" s="212"/>
      <c r="W14" s="208"/>
      <c r="X14" s="208"/>
      <c r="Y14" s="212"/>
      <c r="Z14" s="208"/>
    </row>
    <row r="15" spans="1:26" ht="15">
      <c r="A15" s="3"/>
      <c r="B15" s="308" t="s">
        <v>711</v>
      </c>
      <c r="C15" s="308"/>
      <c r="D15" s="1"/>
      <c r="E15" s="220" t="str">
        <f ca="1">TEXT(INDIRECT("'MeritBonus'!"&amp;"AR"&amp;$N$3),"#,##0")&amp;" "&amp;INDIRECT("'MeritBonus'!"&amp;"S"&amp;$N$3)</f>
        <v>0 AUD</v>
      </c>
      <c r="F15" s="219"/>
      <c r="G15" s="3"/>
      <c r="H15" s="2"/>
      <c r="I15" s="2"/>
      <c r="J15" s="2"/>
      <c r="K15" s="2"/>
      <c r="L15" s="83" t="str">
        <f t="shared" ca="1" si="0"/>
        <v>See</v>
      </c>
      <c r="M15" s="2" t="s">
        <v>709</v>
      </c>
      <c r="N15" s="2"/>
      <c r="O15" s="2"/>
      <c r="P15" s="2"/>
      <c r="Q15" s="2"/>
      <c r="R15" s="2"/>
      <c r="S15" s="37"/>
      <c r="T15" s="2"/>
      <c r="U15" s="1"/>
      <c r="V15" s="98"/>
      <c r="W15" s="1"/>
      <c r="X15" s="1"/>
      <c r="Y15" s="98"/>
      <c r="Z15" s="1"/>
    </row>
    <row r="16" spans="1:26">
      <c r="A16" s="207"/>
      <c r="B16" s="215"/>
      <c r="C16" s="215"/>
      <c r="D16" s="208"/>
      <c r="E16" s="251"/>
      <c r="F16" s="215"/>
      <c r="G16" s="207"/>
      <c r="H16" s="208"/>
      <c r="I16" s="208"/>
      <c r="J16" s="208"/>
      <c r="K16" s="208"/>
      <c r="L16" s="218" t="str">
        <f t="shared" ca="1" si="0"/>
        <v>See</v>
      </c>
      <c r="M16" s="208" t="s">
        <v>709</v>
      </c>
      <c r="N16" s="208"/>
      <c r="O16" s="208"/>
      <c r="P16" s="208"/>
      <c r="Q16" s="208"/>
      <c r="R16" s="208"/>
      <c r="S16" s="212"/>
      <c r="T16" s="208"/>
      <c r="U16" s="208"/>
      <c r="V16" s="212"/>
      <c r="W16" s="208"/>
      <c r="X16" s="208"/>
      <c r="Y16" s="212"/>
      <c r="Z16" s="208"/>
    </row>
    <row r="17" spans="1:26" ht="15">
      <c r="A17" s="3"/>
      <c r="B17" s="308" t="s">
        <v>712</v>
      </c>
      <c r="C17" s="308"/>
      <c r="D17" s="1"/>
      <c r="E17" s="220" t="str">
        <f ca="1">TEXT(INDIRECT("'MeritBonus'!"&amp;"AP"&amp;$N$3),"#,##0")&amp;" "&amp;INDIRECT("'MeritBonus'!"&amp;"S"&amp;$N$3)</f>
        <v>3,500 AUD</v>
      </c>
      <c r="F17" s="219"/>
      <c r="G17" s="3"/>
      <c r="H17" s="2"/>
      <c r="I17" s="2"/>
      <c r="J17" s="2"/>
      <c r="K17" s="2"/>
      <c r="L17" s="83" t="str">
        <f ca="1">IF(AND(LEN(INDIRECT("'MeritBonus'!"&amp;"AM"&amp;$N$3)&gt;0),INDIRECT("'MeritBonus'!"&amp;"AM"&amp;$N$3)&gt;0),"See","")</f>
        <v>See</v>
      </c>
      <c r="M17" s="2" t="s">
        <v>713</v>
      </c>
      <c r="N17" s="2"/>
      <c r="O17" s="2"/>
      <c r="P17" s="2"/>
      <c r="Q17" s="2"/>
      <c r="R17" s="2"/>
      <c r="S17" s="37"/>
      <c r="T17" s="2"/>
      <c r="U17" s="1"/>
      <c r="V17" s="98"/>
      <c r="W17" s="1"/>
      <c r="X17" s="1"/>
      <c r="Y17" s="98"/>
      <c r="Z17" s="1"/>
    </row>
    <row r="18" spans="1:26">
      <c r="A18" s="207"/>
      <c r="B18" s="216"/>
      <c r="C18" s="216"/>
      <c r="D18" s="217"/>
      <c r="E18" s="208"/>
      <c r="F18" s="208"/>
      <c r="G18" s="207"/>
      <c r="H18" s="208"/>
      <c r="I18" s="208"/>
      <c r="J18" s="208"/>
      <c r="K18" s="208"/>
      <c r="L18" s="218" t="str">
        <f ca="1">IF($N$4="Yes","See","")</f>
        <v>See</v>
      </c>
      <c r="M18" s="208" t="s">
        <v>709</v>
      </c>
      <c r="N18" s="208"/>
      <c r="O18" s="208"/>
      <c r="P18" s="208"/>
      <c r="Q18" s="208"/>
      <c r="R18" s="208"/>
      <c r="S18" s="212"/>
      <c r="T18" s="208"/>
      <c r="U18" s="208"/>
      <c r="V18" s="212"/>
      <c r="W18" s="208"/>
      <c r="X18" s="208"/>
      <c r="Y18" s="212"/>
      <c r="Z18" s="208"/>
    </row>
    <row r="19" spans="1:26" ht="15">
      <c r="A19" s="16"/>
      <c r="B19" s="310" t="s">
        <v>744</v>
      </c>
      <c r="C19" s="310"/>
      <c r="D19" s="222"/>
      <c r="E19" s="223"/>
      <c r="F19" s="223"/>
      <c r="G19" s="223"/>
      <c r="H19" s="206"/>
      <c r="I19" s="206"/>
      <c r="J19" s="2"/>
      <c r="K19" s="2"/>
      <c r="L19" s="218" t="str">
        <f ca="1">IF(AND(LEN(INDIRECT("'MeritBonus'!"&amp;"AB"&amp;$N$3)&gt;0),INDIRECT("'MeritBonus'!"&amp;"AB"&amp;$N$3)&gt;0),"See","")</f>
        <v/>
      </c>
      <c r="M19" s="208" t="s">
        <v>707</v>
      </c>
      <c r="N19" s="2"/>
      <c r="O19" s="2"/>
      <c r="P19" s="2"/>
      <c r="Q19" s="2"/>
      <c r="R19" s="2"/>
      <c r="S19" s="37"/>
      <c r="T19" s="2"/>
      <c r="U19" s="1"/>
      <c r="V19" s="98"/>
      <c r="W19" s="1"/>
      <c r="X19" s="1"/>
      <c r="Y19" s="98"/>
      <c r="Z19" s="1"/>
    </row>
    <row r="20" spans="1:26">
      <c r="A20" s="207"/>
      <c r="B20" s="313" t="s">
        <v>706</v>
      </c>
      <c r="C20" s="313"/>
      <c r="D20" s="313"/>
      <c r="E20" s="207"/>
      <c r="F20" s="207"/>
      <c r="G20" s="207"/>
      <c r="H20" s="208"/>
      <c r="I20" s="208"/>
      <c r="J20" s="208"/>
      <c r="K20" s="208"/>
      <c r="L20" s="218" t="str">
        <f ca="1">IF(AND(LEN(INDIRECT("'MeritBonus'!"&amp;"AB"&amp;$N$3)&gt;0),INDIRECT("'MeritBonus'!"&amp;"AB"&amp;$N$3)&gt;0),"See","")</f>
        <v/>
      </c>
      <c r="M20" s="208" t="s">
        <v>707</v>
      </c>
      <c r="N20" s="208"/>
      <c r="O20" s="208"/>
      <c r="P20" s="208"/>
      <c r="Q20" s="208"/>
      <c r="R20" s="208"/>
      <c r="S20" s="212"/>
      <c r="T20" s="208"/>
      <c r="U20" s="208"/>
      <c r="V20" s="212"/>
      <c r="W20" s="208"/>
      <c r="X20" s="208"/>
      <c r="Y20" s="212"/>
      <c r="Z20" s="208"/>
    </row>
    <row r="21" spans="1:26" ht="15">
      <c r="A21" s="16"/>
      <c r="B21" s="308" t="s">
        <v>708</v>
      </c>
      <c r="C21" s="308"/>
      <c r="D21" s="214"/>
      <c r="E21" s="220" t="str">
        <f ca="1">TEXT(INDIRECT("'MeritBonus'!"&amp;"AC"&amp;$N$3),"#,##0")&amp;" "&amp;INDIRECT("'MeritBonus'!"&amp;"S"&amp;$N$3)</f>
        <v>0 AUD</v>
      </c>
      <c r="F21" s="220"/>
      <c r="G21" s="16"/>
      <c r="H21" s="2"/>
      <c r="I21" s="2"/>
      <c r="J21" s="2"/>
      <c r="K21" s="2"/>
      <c r="L21" s="83" t="str">
        <f ca="1">IF(AND(LEN(INDIRECT("'MeritBonus'!"&amp;"AB"&amp;$N$3)&gt;0),INDIRECT("'MeritBonus'!"&amp;"AB"&amp;$N$3)&gt;0),"See","")</f>
        <v/>
      </c>
      <c r="M21" s="2" t="s">
        <v>707</v>
      </c>
      <c r="N21" s="2"/>
      <c r="O21" s="2"/>
      <c r="P21" s="2"/>
      <c r="Q21" s="2"/>
      <c r="R21" s="2"/>
      <c r="S21" s="37"/>
      <c r="T21" s="2"/>
      <c r="U21" s="1"/>
      <c r="V21" s="98"/>
      <c r="W21" s="1"/>
      <c r="X21" s="1"/>
      <c r="Y21" s="98"/>
      <c r="Z21" s="1"/>
    </row>
    <row r="22" spans="1:26">
      <c r="A22" s="207"/>
      <c r="B22" s="227"/>
      <c r="C22" s="228"/>
      <c r="D22" s="228"/>
      <c r="E22" s="207"/>
      <c r="F22" s="207"/>
      <c r="G22" s="207"/>
      <c r="H22" s="208"/>
      <c r="I22" s="208"/>
      <c r="J22" s="208"/>
      <c r="K22" s="208"/>
      <c r="L22" s="218" t="str">
        <f ca="1">IF(AND(LEN(INDIRECT("'MeritBonus'!"&amp;"AB"&amp;$N$3)&gt;0),INDIRECT("'MeritBonus'!"&amp;"AB"&amp;$N$3)&gt;0),"See","")</f>
        <v/>
      </c>
      <c r="M22" s="208" t="s">
        <v>707</v>
      </c>
      <c r="N22" s="208"/>
      <c r="O22" s="208"/>
      <c r="P22" s="208"/>
      <c r="Q22" s="208"/>
      <c r="R22" s="208"/>
      <c r="S22" s="212"/>
      <c r="T22" s="208"/>
      <c r="U22" s="208"/>
      <c r="V22" s="212"/>
      <c r="W22" s="208"/>
      <c r="X22" s="208"/>
      <c r="Y22" s="212"/>
      <c r="Z22" s="208"/>
    </row>
    <row r="23" spans="1:26" ht="15">
      <c r="A23" s="16"/>
      <c r="B23" s="310" t="s">
        <v>745</v>
      </c>
      <c r="C23" s="310"/>
      <c r="D23" s="222"/>
      <c r="E23" s="223"/>
      <c r="F23" s="223"/>
      <c r="G23" s="223"/>
      <c r="H23" s="206"/>
      <c r="I23" s="206"/>
      <c r="J23" s="2"/>
      <c r="K23" s="2"/>
      <c r="L23" s="218" t="str">
        <f t="shared" ref="L23:L32" ca="1" si="1">IF($N$5="Yes","See","")</f>
        <v/>
      </c>
      <c r="M23" s="208" t="s">
        <v>715</v>
      </c>
      <c r="N23" s="2"/>
      <c r="O23" s="2"/>
      <c r="P23" s="2"/>
      <c r="Q23" s="2"/>
      <c r="R23" s="2"/>
      <c r="S23" s="37"/>
      <c r="T23" s="2"/>
      <c r="U23" s="1"/>
      <c r="V23" s="98"/>
      <c r="W23" s="1"/>
      <c r="X23" s="1"/>
      <c r="Y23" s="98"/>
      <c r="Z23" s="1"/>
    </row>
    <row r="24" spans="1:26">
      <c r="A24" s="207"/>
      <c r="B24" s="313" t="s">
        <v>39</v>
      </c>
      <c r="C24" s="313"/>
      <c r="D24" s="313"/>
      <c r="E24" s="208"/>
      <c r="F24" s="208"/>
      <c r="G24" s="207"/>
      <c r="H24" s="208"/>
      <c r="I24" s="208"/>
      <c r="J24" s="208"/>
      <c r="K24" s="208"/>
      <c r="L24" s="218" t="str">
        <f t="shared" ca="1" si="1"/>
        <v/>
      </c>
      <c r="M24" s="208" t="s">
        <v>715</v>
      </c>
      <c r="N24" s="208"/>
      <c r="O24" s="208"/>
      <c r="P24" s="208"/>
      <c r="Q24" s="208"/>
      <c r="R24" s="208"/>
      <c r="S24" s="212"/>
      <c r="T24" s="208"/>
      <c r="U24" s="208"/>
      <c r="V24" s="212"/>
      <c r="W24" s="208"/>
      <c r="X24" s="208"/>
      <c r="Y24" s="212"/>
      <c r="Z24" s="208"/>
    </row>
    <row r="25" spans="1:26" ht="15">
      <c r="A25" s="3"/>
      <c r="B25" s="308" t="s">
        <v>710</v>
      </c>
      <c r="C25" s="308"/>
      <c r="D25" s="214"/>
      <c r="E25" s="220" t="str">
        <f ca="1">TEXT(INDIRECT("'MeritBonus'!"&amp;"T"&amp;$N$3),"#,##0")&amp;" "&amp;INDIRECT("'MeritBonus'!"&amp;"S"&amp;$N$3)</f>
        <v>70,000 AUD</v>
      </c>
      <c r="F25" s="220"/>
      <c r="G25" s="314" t="s">
        <v>719</v>
      </c>
      <c r="H25" s="314"/>
      <c r="I25" s="233" t="str">
        <f ca="1">TEXT(INDIRECT("'MeritBonus'!"&amp;"BI"&amp;$N$3),"#,##0")&amp;" "&amp;INDIRECT("'MeritBonus'!"&amp;"S"&amp;$N$3)</f>
        <v xml:space="preserve"> AUD</v>
      </c>
      <c r="J25" s="2"/>
      <c r="K25" s="2"/>
      <c r="L25" s="83" t="str">
        <f t="shared" ca="1" si="1"/>
        <v/>
      </c>
      <c r="M25" s="2" t="s">
        <v>715</v>
      </c>
      <c r="N25" s="2"/>
      <c r="O25" s="2"/>
      <c r="P25" s="2"/>
      <c r="Q25" s="2"/>
      <c r="R25" s="2"/>
      <c r="S25" s="37"/>
      <c r="T25" s="2"/>
      <c r="U25" s="1"/>
      <c r="V25" s="98"/>
      <c r="W25" s="1"/>
      <c r="X25" s="1"/>
      <c r="Y25" s="98"/>
      <c r="Z25" s="1"/>
    </row>
    <row r="26" spans="1:26">
      <c r="A26" s="207"/>
      <c r="B26" s="216"/>
      <c r="C26" s="208"/>
      <c r="D26" s="225"/>
      <c r="E26" s="226"/>
      <c r="F26" s="226"/>
      <c r="G26" s="207"/>
      <c r="H26" s="208"/>
      <c r="I26" s="208"/>
      <c r="J26" s="208"/>
      <c r="K26" s="208"/>
      <c r="L26" s="218" t="str">
        <f t="shared" ca="1" si="1"/>
        <v/>
      </c>
      <c r="M26" s="208" t="s">
        <v>715</v>
      </c>
      <c r="N26" s="208"/>
      <c r="O26" s="208"/>
      <c r="P26" s="208"/>
      <c r="Q26" s="208"/>
      <c r="R26" s="208"/>
      <c r="S26" s="212"/>
      <c r="T26" s="208"/>
      <c r="U26" s="208"/>
      <c r="V26" s="212"/>
      <c r="W26" s="208"/>
      <c r="X26" s="208"/>
      <c r="Y26" s="212"/>
      <c r="Z26" s="208"/>
    </row>
    <row r="27" spans="1:26" ht="15">
      <c r="A27" s="3"/>
      <c r="B27" s="308" t="s">
        <v>717</v>
      </c>
      <c r="C27" s="308"/>
      <c r="D27" s="214"/>
      <c r="E27" s="220" t="str">
        <f ca="1">TEXT(INDIRECT("'MeritBonus'!"&amp;"BD"&amp;$N$3),"#,##0.00%")</f>
        <v>0.00%</v>
      </c>
      <c r="F27" s="220"/>
      <c r="G27" s="3"/>
      <c r="H27" s="2"/>
      <c r="I27" s="2"/>
      <c r="J27" s="2"/>
      <c r="K27" s="2"/>
      <c r="L27" s="83" t="str">
        <f t="shared" ca="1" si="1"/>
        <v/>
      </c>
      <c r="M27" s="2" t="s">
        <v>715</v>
      </c>
      <c r="N27" s="2"/>
      <c r="O27" s="2"/>
      <c r="P27" s="2"/>
      <c r="Q27" s="2"/>
      <c r="R27" s="2"/>
      <c r="S27" s="37"/>
      <c r="T27" s="2"/>
      <c r="U27" s="1"/>
      <c r="V27" s="98"/>
      <c r="W27" s="1"/>
      <c r="X27" s="1"/>
      <c r="Y27" s="98"/>
      <c r="Z27" s="1"/>
    </row>
    <row r="28" spans="1:26">
      <c r="A28" s="207"/>
      <c r="B28" s="216"/>
      <c r="C28" s="208"/>
      <c r="D28" s="225"/>
      <c r="E28" s="226"/>
      <c r="F28" s="226"/>
      <c r="G28" s="207"/>
      <c r="H28" s="208"/>
      <c r="I28" s="208"/>
      <c r="J28" s="208"/>
      <c r="K28" s="208"/>
      <c r="L28" s="218" t="str">
        <f t="shared" ca="1" si="1"/>
        <v/>
      </c>
      <c r="M28" s="208" t="s">
        <v>715</v>
      </c>
      <c r="N28" s="208"/>
      <c r="O28" s="208"/>
      <c r="P28" s="208"/>
      <c r="Q28" s="208"/>
      <c r="R28" s="208"/>
      <c r="S28" s="212"/>
      <c r="T28" s="208"/>
      <c r="U28" s="208"/>
      <c r="V28" s="212"/>
      <c r="W28" s="208"/>
      <c r="X28" s="208"/>
      <c r="Y28" s="212"/>
      <c r="Z28" s="208"/>
    </row>
    <row r="29" spans="1:26" ht="15">
      <c r="A29" s="3"/>
      <c r="B29" s="308" t="s">
        <v>718</v>
      </c>
      <c r="C29" s="308"/>
      <c r="D29" s="308"/>
      <c r="E29" s="220" t="str">
        <f ca="1">TEXT(INDIRECT("'MeritBonus'!"&amp;"BE"&amp;$N$3),"#,##0")&amp;" "&amp;INDIRECT("'MeritBonus'!"&amp;"S"&amp;$N$3)</f>
        <v xml:space="preserve"> AUD</v>
      </c>
      <c r="F29" s="220"/>
      <c r="G29" s="3"/>
      <c r="H29" s="2"/>
      <c r="I29" s="2"/>
      <c r="J29" s="2"/>
      <c r="K29" s="2"/>
      <c r="L29" s="83" t="str">
        <f t="shared" ca="1" si="1"/>
        <v/>
      </c>
      <c r="M29" s="2" t="s">
        <v>715</v>
      </c>
      <c r="N29" s="2"/>
      <c r="O29" s="2"/>
      <c r="P29" s="2"/>
      <c r="Q29" s="2"/>
      <c r="R29" s="2"/>
      <c r="S29" s="37"/>
      <c r="T29" s="2"/>
      <c r="U29" s="1"/>
      <c r="V29" s="98"/>
      <c r="W29" s="1"/>
      <c r="X29" s="1"/>
      <c r="Y29" s="98"/>
      <c r="Z29" s="1"/>
    </row>
    <row r="30" spans="1:26">
      <c r="A30" s="207"/>
      <c r="B30" s="216"/>
      <c r="C30" s="208"/>
      <c r="D30" s="225"/>
      <c r="E30" s="226"/>
      <c r="F30" s="226"/>
      <c r="G30" s="207"/>
      <c r="H30" s="208"/>
      <c r="I30" s="208"/>
      <c r="J30" s="208"/>
      <c r="K30" s="208"/>
      <c r="L30" s="218" t="str">
        <f t="shared" ca="1" si="1"/>
        <v/>
      </c>
      <c r="M30" s="208" t="s">
        <v>715</v>
      </c>
      <c r="N30" s="208"/>
      <c r="O30" s="208"/>
      <c r="P30" s="208"/>
      <c r="Q30" s="208"/>
      <c r="R30" s="208"/>
      <c r="S30" s="212"/>
      <c r="T30" s="208"/>
      <c r="U30" s="208"/>
      <c r="V30" s="212"/>
      <c r="W30" s="208"/>
      <c r="X30" s="208"/>
      <c r="Y30" s="212"/>
      <c r="Z30" s="208"/>
    </row>
    <row r="31" spans="1:26" ht="15">
      <c r="A31" s="3"/>
      <c r="B31" s="308" t="s">
        <v>716</v>
      </c>
      <c r="C31" s="308"/>
      <c r="D31" s="214"/>
      <c r="E31" s="312">
        <f ca="1">INDIRECT("'MeritBonus'!"&amp;"BC"&amp;$N$3)</f>
        <v>0</v>
      </c>
      <c r="F31" s="312"/>
      <c r="G31" s="312"/>
      <c r="H31" s="312"/>
      <c r="I31" s="312"/>
      <c r="J31" s="2"/>
      <c r="K31" s="2"/>
      <c r="L31" s="83" t="str">
        <f t="shared" ca="1" si="1"/>
        <v/>
      </c>
      <c r="M31" s="2" t="s">
        <v>715</v>
      </c>
      <c r="N31" s="2"/>
      <c r="O31" s="2"/>
      <c r="P31" s="2"/>
      <c r="Q31" s="2"/>
      <c r="R31" s="2"/>
      <c r="S31" s="37"/>
      <c r="T31" s="2"/>
      <c r="U31" s="1"/>
      <c r="V31" s="98"/>
      <c r="W31" s="1"/>
      <c r="X31" s="1"/>
      <c r="Y31" s="98"/>
      <c r="Z31" s="1"/>
    </row>
    <row r="32" spans="1:26">
      <c r="A32" s="207"/>
      <c r="B32" s="227"/>
      <c r="C32" s="228"/>
      <c r="D32" s="228"/>
      <c r="E32" s="208"/>
      <c r="F32" s="208"/>
      <c r="G32" s="207"/>
      <c r="H32" s="208"/>
      <c r="I32" s="208"/>
      <c r="J32" s="208"/>
      <c r="K32" s="208"/>
      <c r="L32" s="218" t="str">
        <f t="shared" ca="1" si="1"/>
        <v/>
      </c>
      <c r="M32" s="208" t="s">
        <v>715</v>
      </c>
      <c r="N32" s="208"/>
      <c r="O32" s="208"/>
      <c r="P32" s="208"/>
      <c r="Q32" s="208"/>
      <c r="R32" s="208"/>
      <c r="S32" s="212"/>
      <c r="T32" s="208"/>
      <c r="U32" s="208"/>
      <c r="V32" s="212"/>
      <c r="W32" s="208"/>
      <c r="X32" s="208"/>
      <c r="Y32" s="212"/>
      <c r="Z32" s="208"/>
    </row>
    <row r="33" spans="1:26" ht="15">
      <c r="A33" s="3"/>
      <c r="B33" s="310" t="s">
        <v>746</v>
      </c>
      <c r="C33" s="310"/>
      <c r="D33" s="310"/>
      <c r="E33" s="310"/>
      <c r="F33" s="213"/>
      <c r="G33" s="205"/>
      <c r="H33" s="206"/>
      <c r="I33" s="206"/>
      <c r="J33" s="2"/>
      <c r="K33" s="2"/>
      <c r="L33" s="83" t="str">
        <f ca="1">IF($N$6="Yes","See","")</f>
        <v>See</v>
      </c>
      <c r="M33" s="2" t="s">
        <v>725</v>
      </c>
      <c r="N33" s="2"/>
      <c r="O33" s="2"/>
      <c r="P33" s="2"/>
      <c r="Q33" s="2"/>
      <c r="R33" s="2"/>
      <c r="S33" s="37"/>
      <c r="T33" s="2"/>
      <c r="U33" s="1"/>
      <c r="V33" s="98"/>
      <c r="W33" s="1"/>
      <c r="X33" s="1"/>
      <c r="Y33" s="98"/>
      <c r="Z33" s="1"/>
    </row>
    <row r="34" spans="1:26">
      <c r="A34" s="207"/>
      <c r="B34" s="313"/>
      <c r="C34" s="313"/>
      <c r="D34" s="313"/>
      <c r="E34" s="208"/>
      <c r="F34" s="208"/>
      <c r="G34" s="207"/>
      <c r="H34" s="208"/>
      <c r="I34" s="208"/>
      <c r="J34" s="208"/>
      <c r="K34" s="208"/>
      <c r="L34" s="218" t="str">
        <f ca="1">IF($N$6="Yes","See","")</f>
        <v>See</v>
      </c>
      <c r="M34" s="208" t="s">
        <v>725</v>
      </c>
      <c r="N34" s="208"/>
      <c r="O34" s="208"/>
      <c r="P34" s="208"/>
      <c r="Q34" s="208"/>
      <c r="R34" s="208"/>
      <c r="S34" s="212"/>
      <c r="T34" s="208"/>
      <c r="U34" s="208"/>
      <c r="V34" s="212"/>
      <c r="W34" s="208"/>
      <c r="X34" s="208"/>
      <c r="Y34" s="212"/>
      <c r="Z34" s="208"/>
    </row>
    <row r="35" spans="1:26" ht="15">
      <c r="A35" s="3"/>
      <c r="B35" s="308" t="s">
        <v>726</v>
      </c>
      <c r="C35" s="308"/>
      <c r="D35" s="308"/>
      <c r="E35" s="224" t="str">
        <f ca="1">TEXT(INDIRECT("'MeritBonus'!"&amp;"BP"&amp;$N$3),"#,##0%")</f>
        <v>5%</v>
      </c>
      <c r="F35" s="224"/>
      <c r="G35" s="314" t="s">
        <v>747</v>
      </c>
      <c r="H35" s="314"/>
      <c r="I35" s="233" t="str">
        <f ca="1">TEXT(INDIRECT("'MeritBonus'!"&amp;"BV"&amp;$N$3),"#,##0")&amp;" "&amp;INDIRECT("'MeritBonus'!"&amp;"S"&amp;$N$3)</f>
        <v>1,750 AUD</v>
      </c>
      <c r="J35" s="2"/>
      <c r="K35" s="2"/>
      <c r="L35" s="83" t="str">
        <f ca="1">IF($N$6="Yes","See","")</f>
        <v>See</v>
      </c>
      <c r="M35" s="2" t="s">
        <v>725</v>
      </c>
      <c r="N35" s="2"/>
      <c r="O35" s="2"/>
      <c r="P35" s="2"/>
      <c r="Q35" s="2"/>
      <c r="R35" s="2"/>
      <c r="S35" s="37"/>
      <c r="T35" s="2"/>
      <c r="U35" s="1"/>
      <c r="V35" s="98"/>
      <c r="W35" s="1"/>
      <c r="X35" s="1"/>
      <c r="Y35" s="98"/>
      <c r="Z35" s="1"/>
    </row>
    <row r="36" spans="1:26">
      <c r="A36" s="207"/>
      <c r="B36" s="216"/>
      <c r="C36" s="208"/>
      <c r="D36" s="225"/>
      <c r="E36" s="226"/>
      <c r="F36" s="226"/>
      <c r="G36" s="207"/>
      <c r="H36" s="208"/>
      <c r="I36" s="208"/>
      <c r="J36" s="208"/>
      <c r="K36" s="208"/>
      <c r="L36" s="218" t="str">
        <f ca="1">IF($N$6="Yes","See","")</f>
        <v>See</v>
      </c>
      <c r="M36" s="208" t="s">
        <v>725</v>
      </c>
      <c r="N36" s="208"/>
      <c r="O36" s="208"/>
      <c r="P36" s="208"/>
      <c r="Q36" s="208"/>
      <c r="R36" s="208"/>
      <c r="S36" s="212"/>
      <c r="T36" s="208"/>
      <c r="U36" s="208"/>
      <c r="V36" s="212"/>
      <c r="W36" s="208"/>
      <c r="X36" s="208"/>
      <c r="Y36" s="212"/>
      <c r="Z36" s="208"/>
    </row>
    <row r="37" spans="1:26" ht="15">
      <c r="A37" s="3"/>
      <c r="B37" s="308" t="s">
        <v>727</v>
      </c>
      <c r="C37" s="308"/>
      <c r="D37" s="308"/>
      <c r="E37" s="224" t="str">
        <f ca="1">TEXT(INDIRECT("'MeritBonus'!"&amp;"BR"&amp;$N$3),"#,##0.00%")</f>
        <v>2.50%</v>
      </c>
      <c r="F37" s="224"/>
      <c r="G37" s="3"/>
      <c r="H37" s="2"/>
      <c r="I37" s="2"/>
      <c r="J37" s="2"/>
      <c r="K37" s="2"/>
      <c r="L37" s="83" t="str">
        <f ca="1">IF(AND($N$6="Yes",$N$8="Yes"),"See","")</f>
        <v/>
      </c>
      <c r="M37" s="2" t="s">
        <v>728</v>
      </c>
      <c r="N37" s="2"/>
      <c r="O37" s="2"/>
      <c r="P37" s="2"/>
      <c r="Q37" s="2"/>
      <c r="R37" s="2"/>
      <c r="S37" s="37"/>
      <c r="T37" s="2"/>
      <c r="U37" s="1"/>
      <c r="V37" s="98"/>
      <c r="W37" s="1"/>
      <c r="X37" s="1"/>
      <c r="Y37" s="98"/>
      <c r="Z37" s="1"/>
    </row>
    <row r="38" spans="1:26">
      <c r="A38" s="207"/>
      <c r="B38" s="216"/>
      <c r="C38" s="208"/>
      <c r="D38" s="225"/>
      <c r="E38" s="226"/>
      <c r="F38" s="226"/>
      <c r="G38" s="207"/>
      <c r="H38" s="208"/>
      <c r="I38" s="208"/>
      <c r="J38" s="208"/>
      <c r="K38" s="208"/>
      <c r="L38" s="218" t="str">
        <f ca="1">IF($N$6="Yes","See","")</f>
        <v>See</v>
      </c>
      <c r="M38" s="208" t="s">
        <v>725</v>
      </c>
      <c r="N38" s="208"/>
      <c r="O38" s="208"/>
      <c r="P38" s="208"/>
      <c r="Q38" s="208"/>
      <c r="R38" s="208"/>
      <c r="S38" s="212"/>
      <c r="T38" s="208"/>
      <c r="U38" s="208"/>
      <c r="V38" s="212"/>
      <c r="W38" s="208"/>
      <c r="X38" s="208"/>
      <c r="Y38" s="212"/>
      <c r="Z38" s="208"/>
    </row>
    <row r="39" spans="1:26" ht="15">
      <c r="A39" s="3"/>
      <c r="B39" s="309" t="s">
        <v>729</v>
      </c>
      <c r="C39" s="309"/>
      <c r="D39" s="309"/>
      <c r="E39" s="224" t="str">
        <f ca="1">TEXT(INDIRECT("'MeritBonus'!"&amp;"BU"&amp;$N$3),"#,##0%")</f>
        <v>100%</v>
      </c>
      <c r="F39" s="224"/>
      <c r="G39" s="3"/>
      <c r="H39" s="2"/>
      <c r="I39" s="2"/>
      <c r="J39" s="2"/>
      <c r="K39" s="2"/>
      <c r="L39" s="83" t="str">
        <f ca="1">IF($N$6="Yes","See","")</f>
        <v>See</v>
      </c>
      <c r="M39" s="2" t="s">
        <v>725</v>
      </c>
      <c r="N39" s="2"/>
      <c r="O39" s="2"/>
      <c r="P39" s="2"/>
      <c r="Q39" s="2"/>
      <c r="R39" s="2"/>
      <c r="S39" s="37"/>
      <c r="T39" s="2"/>
      <c r="U39" s="1"/>
      <c r="V39" s="98"/>
      <c r="W39" s="1"/>
      <c r="X39" s="1"/>
      <c r="Y39" s="98"/>
      <c r="Z39" s="1"/>
    </row>
    <row r="40" spans="1:26">
      <c r="A40" s="207"/>
      <c r="B40" s="216"/>
      <c r="C40" s="208"/>
      <c r="D40" s="225"/>
      <c r="E40" s="226"/>
      <c r="F40" s="226"/>
      <c r="G40" s="207"/>
      <c r="H40" s="208"/>
      <c r="I40" s="208"/>
      <c r="J40" s="208"/>
      <c r="K40" s="208"/>
      <c r="L40" s="218" t="str">
        <f ca="1">IF($N$6="Yes","See","")</f>
        <v>See</v>
      </c>
      <c r="M40" s="208" t="s">
        <v>725</v>
      </c>
      <c r="N40" s="208"/>
      <c r="O40" s="208"/>
      <c r="P40" s="208"/>
      <c r="Q40" s="208"/>
      <c r="R40" s="208"/>
      <c r="S40" s="212"/>
      <c r="T40" s="208"/>
      <c r="U40" s="208"/>
      <c r="V40" s="212"/>
      <c r="W40" s="208"/>
      <c r="X40" s="208"/>
      <c r="Y40" s="212"/>
      <c r="Z40" s="208"/>
    </row>
    <row r="41" spans="1:26" ht="15">
      <c r="A41" s="3"/>
      <c r="B41" s="310" t="s">
        <v>748</v>
      </c>
      <c r="C41" s="310"/>
      <c r="D41" s="310"/>
      <c r="E41" s="310"/>
      <c r="F41" s="213"/>
      <c r="G41" s="205"/>
      <c r="H41" s="206"/>
      <c r="I41" s="206"/>
      <c r="J41" s="2"/>
      <c r="K41" s="2"/>
      <c r="L41" s="3" t="s">
        <v>737</v>
      </c>
      <c r="M41" s="2"/>
      <c r="N41" s="2" t="s">
        <v>749</v>
      </c>
      <c r="O41" s="2"/>
      <c r="P41" s="2"/>
      <c r="Q41" s="2"/>
      <c r="R41" s="2"/>
      <c r="S41" s="37"/>
      <c r="T41" s="2"/>
      <c r="U41" s="1"/>
      <c r="V41" s="98"/>
      <c r="W41" s="1"/>
      <c r="X41" s="1"/>
      <c r="Y41" s="98"/>
      <c r="Z41" s="1"/>
    </row>
    <row r="42" spans="1:26">
      <c r="A42" s="3"/>
      <c r="B42" s="311" t="s">
        <v>750</v>
      </c>
      <c r="C42" s="311"/>
      <c r="D42" s="311"/>
      <c r="E42" s="311"/>
      <c r="F42" s="230"/>
      <c r="G42" s="3"/>
      <c r="H42" s="32"/>
      <c r="I42" s="32"/>
      <c r="J42" s="32"/>
      <c r="K42" s="32"/>
      <c r="L42" s="3" t="s">
        <v>737</v>
      </c>
      <c r="M42" s="32"/>
      <c r="N42" s="32" t="s">
        <v>751</v>
      </c>
      <c r="O42" s="231">
        <f ca="1">N9/N11</f>
        <v>0.9999996428572705</v>
      </c>
      <c r="P42" s="32"/>
      <c r="Q42" s="32"/>
      <c r="R42" s="32"/>
      <c r="S42" s="229"/>
      <c r="T42" s="32"/>
      <c r="U42" s="32"/>
      <c r="V42" s="229"/>
      <c r="W42" s="32"/>
      <c r="X42" s="32"/>
      <c r="Y42" s="229"/>
      <c r="Z42" s="32"/>
    </row>
    <row r="43" spans="1:26">
      <c r="A43" s="3"/>
      <c r="B43" s="311"/>
      <c r="C43" s="311"/>
      <c r="D43" s="311"/>
      <c r="E43" s="311"/>
      <c r="F43" s="230"/>
      <c r="G43" s="1"/>
      <c r="H43" s="32"/>
      <c r="I43" s="32"/>
      <c r="J43" s="32"/>
      <c r="K43" s="32"/>
      <c r="L43" s="3" t="s">
        <v>737</v>
      </c>
      <c r="M43" s="32"/>
      <c r="N43" s="32" t="s">
        <v>40</v>
      </c>
      <c r="O43" s="231">
        <f ca="1">N10/N11</f>
        <v>3.5714272959188236E-7</v>
      </c>
      <c r="P43" s="32"/>
      <c r="Q43" s="32"/>
      <c r="R43" s="32"/>
      <c r="S43" s="229"/>
      <c r="T43" s="32"/>
      <c r="U43" s="32"/>
      <c r="V43" s="229"/>
      <c r="W43" s="32"/>
      <c r="X43" s="32"/>
      <c r="Y43" s="229"/>
      <c r="Z43" s="32"/>
    </row>
    <row r="44" spans="1:26">
      <c r="A44" s="3"/>
      <c r="B44" s="311"/>
      <c r="C44" s="311"/>
      <c r="D44" s="311"/>
      <c r="E44" s="311"/>
      <c r="F44" s="230"/>
      <c r="G44" s="3"/>
      <c r="H44" s="32"/>
      <c r="I44" s="32"/>
      <c r="J44" s="32"/>
      <c r="K44" s="32"/>
      <c r="L44" s="3" t="s">
        <v>737</v>
      </c>
      <c r="M44" s="32"/>
      <c r="N44" s="32"/>
      <c r="O44" s="32"/>
      <c r="P44" s="32"/>
      <c r="Q44" s="32"/>
      <c r="R44" s="32"/>
      <c r="S44" s="229"/>
      <c r="T44" s="32"/>
      <c r="U44" s="32"/>
      <c r="V44" s="229"/>
      <c r="W44" s="32"/>
      <c r="X44" s="32"/>
      <c r="Y44" s="229"/>
      <c r="Z44" s="32"/>
    </row>
    <row r="45" spans="1:26">
      <c r="A45" s="3"/>
      <c r="B45" s="311"/>
      <c r="C45" s="311"/>
      <c r="D45" s="311"/>
      <c r="E45" s="311"/>
      <c r="F45" s="230"/>
      <c r="G45" s="3"/>
      <c r="H45" s="32"/>
      <c r="I45" s="32"/>
      <c r="J45" s="32"/>
      <c r="K45" s="32"/>
      <c r="L45" s="3" t="s">
        <v>737</v>
      </c>
      <c r="M45" s="32"/>
      <c r="N45" s="32"/>
      <c r="O45" s="32"/>
      <c r="P45" s="32"/>
      <c r="Q45" s="32"/>
      <c r="R45" s="32"/>
      <c r="S45" s="229"/>
      <c r="T45" s="32"/>
      <c r="U45" s="32"/>
      <c r="V45" s="229"/>
      <c r="W45" s="32"/>
      <c r="X45" s="32"/>
      <c r="Y45" s="229"/>
      <c r="Z45" s="32"/>
    </row>
    <row r="46" spans="1:26">
      <c r="A46" s="3"/>
      <c r="B46" s="311"/>
      <c r="C46" s="311"/>
      <c r="D46" s="311"/>
      <c r="E46" s="311"/>
      <c r="F46" s="230"/>
      <c r="G46" s="3"/>
      <c r="H46" s="32"/>
      <c r="I46" s="32"/>
      <c r="J46" s="32"/>
      <c r="K46" s="32"/>
      <c r="L46" s="3" t="s">
        <v>737</v>
      </c>
      <c r="M46" s="32"/>
      <c r="N46" s="32"/>
      <c r="O46" s="32"/>
      <c r="P46" s="32"/>
      <c r="Q46" s="32"/>
      <c r="R46" s="32"/>
      <c r="S46" s="229"/>
      <c r="T46" s="32"/>
      <c r="U46" s="32"/>
      <c r="V46" s="229"/>
      <c r="W46" s="32"/>
      <c r="X46" s="32"/>
      <c r="Y46" s="229"/>
      <c r="Z46" s="32"/>
    </row>
    <row r="47" spans="1:26">
      <c r="A47" s="3"/>
      <c r="B47" s="311"/>
      <c r="C47" s="311"/>
      <c r="D47" s="311"/>
      <c r="E47" s="311"/>
      <c r="F47" s="230"/>
      <c r="G47" s="3"/>
      <c r="H47" s="32"/>
      <c r="I47" s="32"/>
      <c r="J47" s="32"/>
      <c r="K47" s="32"/>
      <c r="L47" s="3" t="s">
        <v>737</v>
      </c>
      <c r="M47" s="32"/>
      <c r="N47" s="32"/>
      <c r="O47" s="32"/>
      <c r="P47" s="32"/>
      <c r="Q47" s="32"/>
      <c r="R47" s="32"/>
      <c r="S47" s="229"/>
      <c r="T47" s="32"/>
      <c r="U47" s="32"/>
      <c r="V47" s="229"/>
      <c r="W47" s="32"/>
      <c r="X47" s="32"/>
      <c r="Y47" s="229"/>
      <c r="Z47" s="32"/>
    </row>
    <row r="48" spans="1:26">
      <c r="A48" s="3"/>
      <c r="B48" s="311"/>
      <c r="C48" s="311"/>
      <c r="D48" s="311"/>
      <c r="E48" s="311"/>
      <c r="F48" s="230"/>
      <c r="G48" s="3"/>
      <c r="H48" s="32"/>
      <c r="I48" s="32"/>
      <c r="J48" s="32"/>
      <c r="K48" s="32"/>
      <c r="L48" s="3" t="s">
        <v>737</v>
      </c>
      <c r="M48" s="32"/>
      <c r="N48" s="32"/>
      <c r="O48" s="32"/>
      <c r="P48" s="32"/>
      <c r="Q48" s="32"/>
      <c r="R48" s="32"/>
      <c r="S48" s="229"/>
      <c r="T48" s="32"/>
      <c r="U48" s="32"/>
      <c r="V48" s="229"/>
      <c r="W48" s="32"/>
      <c r="X48" s="32"/>
      <c r="Y48" s="229"/>
      <c r="Z48" s="32"/>
    </row>
    <row r="49" spans="1:26">
      <c r="A49" s="3"/>
      <c r="B49" s="311"/>
      <c r="C49" s="311"/>
      <c r="D49" s="311"/>
      <c r="E49" s="311"/>
      <c r="F49" s="230"/>
      <c r="G49" s="3"/>
      <c r="H49" s="32"/>
      <c r="I49" s="32"/>
      <c r="J49" s="32"/>
      <c r="K49" s="32"/>
      <c r="L49" s="3" t="s">
        <v>737</v>
      </c>
      <c r="M49" s="32"/>
      <c r="N49" s="32"/>
      <c r="O49" s="32"/>
      <c r="P49" s="32"/>
      <c r="Q49" s="32"/>
      <c r="R49" s="32"/>
      <c r="S49" s="229"/>
      <c r="T49" s="32"/>
      <c r="U49" s="32"/>
      <c r="V49" s="229"/>
      <c r="W49" s="32"/>
      <c r="X49" s="32"/>
      <c r="Y49" s="229"/>
      <c r="Z49" s="32"/>
    </row>
    <row r="50" spans="1:26">
      <c r="A50" s="3"/>
      <c r="B50" s="311"/>
      <c r="C50" s="311"/>
      <c r="D50" s="311"/>
      <c r="E50" s="311"/>
      <c r="F50" s="230"/>
      <c r="G50" s="3"/>
      <c r="H50" s="32"/>
      <c r="I50" s="32"/>
      <c r="J50" s="32"/>
      <c r="K50" s="32"/>
      <c r="L50" s="3" t="s">
        <v>737</v>
      </c>
      <c r="M50" s="32"/>
      <c r="N50" s="32"/>
      <c r="O50" s="32"/>
      <c r="P50" s="32"/>
      <c r="Q50" s="32"/>
      <c r="R50" s="32"/>
      <c r="S50" s="229"/>
      <c r="T50" s="32"/>
      <c r="U50" s="32"/>
      <c r="V50" s="229"/>
      <c r="W50" s="32"/>
      <c r="X50" s="32"/>
      <c r="Y50" s="229"/>
      <c r="Z50" s="32"/>
    </row>
    <row r="51" spans="1:26">
      <c r="A51" s="207"/>
      <c r="B51" s="239"/>
      <c r="C51" s="239"/>
      <c r="D51" s="239"/>
      <c r="E51" s="239"/>
      <c r="F51" s="239"/>
      <c r="G51" s="207"/>
      <c r="H51" s="208"/>
      <c r="I51" s="208"/>
      <c r="J51" s="208"/>
      <c r="K51" s="208"/>
      <c r="L51" s="207" t="s">
        <v>737</v>
      </c>
      <c r="M51" s="208"/>
      <c r="N51" s="208"/>
      <c r="O51" s="208"/>
      <c r="P51" s="208"/>
      <c r="Q51" s="208"/>
      <c r="R51" s="208"/>
      <c r="S51" s="212"/>
      <c r="T51" s="208"/>
      <c r="U51" s="208"/>
      <c r="V51" s="212"/>
      <c r="W51" s="208"/>
      <c r="X51" s="208"/>
      <c r="Y51" s="212"/>
      <c r="Z51" s="208"/>
    </row>
    <row r="52" spans="1:26">
      <c r="A52" s="16"/>
      <c r="B52" s="307" t="s">
        <v>733</v>
      </c>
      <c r="C52" s="307"/>
      <c r="D52" s="307"/>
      <c r="E52" s="307"/>
      <c r="F52" s="307"/>
      <c r="G52" s="307"/>
      <c r="H52" s="307"/>
      <c r="I52" s="307"/>
      <c r="J52" s="2"/>
      <c r="K52" s="2"/>
      <c r="L52" s="83" t="str">
        <f ca="1">IF($N$4="Yes","See","")</f>
        <v>See</v>
      </c>
      <c r="M52" s="2" t="s">
        <v>709</v>
      </c>
      <c r="N52" s="2"/>
      <c r="O52" s="2"/>
      <c r="P52" s="2"/>
      <c r="Q52" s="2"/>
      <c r="R52" s="2"/>
      <c r="S52" s="37"/>
      <c r="T52" s="2"/>
      <c r="U52" s="1"/>
      <c r="V52" s="98"/>
      <c r="W52" s="1"/>
      <c r="X52" s="1"/>
      <c r="Y52" s="98"/>
      <c r="Z52" s="1"/>
    </row>
    <row r="53" spans="1:26">
      <c r="A53" s="207"/>
      <c r="B53" s="240"/>
      <c r="C53" s="241"/>
      <c r="D53" s="241"/>
      <c r="E53" s="207"/>
      <c r="F53" s="207"/>
      <c r="G53" s="207"/>
      <c r="H53" s="208"/>
      <c r="I53" s="208"/>
      <c r="J53" s="208"/>
      <c r="K53" s="208"/>
      <c r="L53" s="207" t="s">
        <v>737</v>
      </c>
      <c r="M53" s="208"/>
      <c r="N53" s="208"/>
      <c r="O53" s="208"/>
      <c r="P53" s="208"/>
      <c r="Q53" s="208"/>
      <c r="R53" s="208"/>
      <c r="S53" s="212"/>
      <c r="T53" s="208"/>
      <c r="U53" s="208"/>
      <c r="V53" s="212"/>
      <c r="W53" s="208"/>
      <c r="X53" s="208"/>
      <c r="Y53" s="212"/>
      <c r="Z53" s="208"/>
    </row>
    <row r="54" spans="1:26">
      <c r="A54" s="9"/>
      <c r="B54" s="307" t="s">
        <v>752</v>
      </c>
      <c r="C54" s="307"/>
      <c r="D54" s="307"/>
      <c r="E54" s="307"/>
      <c r="F54" s="307"/>
      <c r="G54" s="307"/>
      <c r="H54" s="307"/>
      <c r="I54" s="307"/>
      <c r="J54" s="2"/>
      <c r="K54" s="2"/>
      <c r="L54" s="83" t="str">
        <f ca="1">IF($N$6="Yes","See","")</f>
        <v>See</v>
      </c>
      <c r="M54" s="2" t="s">
        <v>725</v>
      </c>
      <c r="N54" s="2"/>
      <c r="O54" s="2"/>
      <c r="P54" s="2"/>
      <c r="Q54" s="2"/>
      <c r="R54" s="2"/>
      <c r="S54" s="37"/>
      <c r="T54" s="2"/>
      <c r="U54" s="1"/>
      <c r="V54" s="98"/>
      <c r="W54" s="1"/>
      <c r="X54" s="1"/>
      <c r="Y54" s="98"/>
      <c r="Z54" s="1"/>
    </row>
    <row r="55" spans="1:26">
      <c r="A55" s="207"/>
      <c r="B55" s="240"/>
      <c r="C55" s="242"/>
      <c r="D55" s="242"/>
      <c r="E55" s="207"/>
      <c r="F55" s="207"/>
      <c r="G55" s="207"/>
      <c r="H55" s="208"/>
      <c r="I55" s="208"/>
      <c r="J55" s="208"/>
      <c r="K55" s="208"/>
      <c r="L55" s="207" t="s">
        <v>737</v>
      </c>
      <c r="M55" s="208"/>
      <c r="N55" s="208"/>
      <c r="O55" s="208"/>
      <c r="P55" s="208"/>
      <c r="Q55" s="208"/>
      <c r="R55" s="208"/>
      <c r="S55" s="212"/>
      <c r="T55" s="208"/>
      <c r="U55" s="208"/>
      <c r="V55" s="212"/>
      <c r="W55" s="208"/>
      <c r="X55" s="208"/>
      <c r="Y55" s="212"/>
      <c r="Z55" s="208"/>
    </row>
    <row r="56" spans="1:26">
      <c r="A56" s="9"/>
      <c r="B56" s="307" t="s">
        <v>736</v>
      </c>
      <c r="C56" s="307"/>
      <c r="D56" s="307"/>
      <c r="E56" s="307"/>
      <c r="F56" s="307"/>
      <c r="G56" s="307"/>
      <c r="H56" s="307"/>
      <c r="I56" s="307"/>
      <c r="J56" s="2"/>
      <c r="K56" s="2"/>
      <c r="L56" s="3" t="s">
        <v>737</v>
      </c>
      <c r="M56" s="2"/>
      <c r="N56" s="2"/>
      <c r="O56" s="2"/>
      <c r="P56" s="2"/>
      <c r="Q56" s="2"/>
      <c r="R56" s="2"/>
      <c r="S56" s="37"/>
      <c r="T56" s="2"/>
      <c r="U56" s="1"/>
      <c r="V56" s="98"/>
      <c r="W56" s="1"/>
      <c r="X56" s="1"/>
      <c r="Y56" s="98"/>
      <c r="Z56" s="1"/>
    </row>
  </sheetData>
  <mergeCells count="34">
    <mergeCell ref="B2:I2"/>
    <mergeCell ref="B3:I3"/>
    <mergeCell ref="B5:E5"/>
    <mergeCell ref="G5:I5"/>
    <mergeCell ref="B7:E7"/>
    <mergeCell ref="G7:I7"/>
    <mergeCell ref="B9:I9"/>
    <mergeCell ref="B11:C11"/>
    <mergeCell ref="B13:C13"/>
    <mergeCell ref="G13:H13"/>
    <mergeCell ref="B15:C15"/>
    <mergeCell ref="B17:C17"/>
    <mergeCell ref="B19:C19"/>
    <mergeCell ref="B20:D20"/>
    <mergeCell ref="B21:C21"/>
    <mergeCell ref="B23:C23"/>
    <mergeCell ref="B24:D24"/>
    <mergeCell ref="B25:C25"/>
    <mergeCell ref="G25:H25"/>
    <mergeCell ref="B27:C27"/>
    <mergeCell ref="B29:D29"/>
    <mergeCell ref="B31:C31"/>
    <mergeCell ref="E31:I31"/>
    <mergeCell ref="B33:E33"/>
    <mergeCell ref="B34:D34"/>
    <mergeCell ref="B35:D35"/>
    <mergeCell ref="G35:H35"/>
    <mergeCell ref="B54:I54"/>
    <mergeCell ref="B56:I56"/>
    <mergeCell ref="B37:D37"/>
    <mergeCell ref="B39:D39"/>
    <mergeCell ref="B41:E41"/>
    <mergeCell ref="B42:E50"/>
    <mergeCell ref="B52:I52"/>
  </mergeCells>
  <dataValidations count="1">
    <dataValidation type="decimal" operator="lessThanOrEqual" allowBlank="1" showErrorMessage="1" sqref="C19 C22:C23" xr:uid="{00000000-0002-0000-0600-000000000000}">
      <formula1>0.06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1"/>
  <sheetViews>
    <sheetView workbookViewId="0"/>
  </sheetViews>
  <sheetFormatPr baseColWidth="10" defaultRowHeight="14"/>
  <cols>
    <col min="1" max="1" width="2.6640625" customWidth="1"/>
    <col min="2" max="2" width="39.1640625" customWidth="1"/>
    <col min="3" max="4" width="32.83203125" customWidth="1"/>
    <col min="5" max="5" width="2.6640625" customWidth="1"/>
    <col min="6" max="7" width="5.1640625" customWidth="1"/>
    <col min="8" max="8" width="5.6640625" customWidth="1"/>
    <col min="9" max="9" width="6.33203125" customWidth="1"/>
    <col min="10" max="10" width="4.33203125" customWidth="1"/>
    <col min="11" max="11" width="6.1640625" customWidth="1"/>
    <col min="12" max="12" width="16.33203125" customWidth="1"/>
    <col min="13" max="13" width="19.6640625" customWidth="1"/>
    <col min="14" max="15" width="16.33203125" customWidth="1"/>
    <col min="16" max="16" width="8.1640625" customWidth="1"/>
    <col min="17" max="19" width="21.6640625" customWidth="1"/>
    <col min="20" max="25" width="9.1640625" customWidth="1"/>
  </cols>
  <sheetData>
    <row r="1" spans="1:25" ht="16">
      <c r="A1" s="2"/>
      <c r="B1" s="2"/>
      <c r="C1" s="2"/>
      <c r="D1" s="2"/>
      <c r="E1" s="2"/>
      <c r="F1" s="2"/>
      <c r="G1" s="6"/>
      <c r="H1" s="6"/>
      <c r="I1" s="38"/>
      <c r="J1" s="38"/>
      <c r="K1" s="38"/>
      <c r="L1" s="38" t="s">
        <v>664</v>
      </c>
      <c r="M1" s="38"/>
      <c r="N1" s="38"/>
      <c r="O1" s="38"/>
      <c r="P1" s="2"/>
      <c r="Q1" s="2"/>
      <c r="R1" s="37"/>
      <c r="S1" s="2"/>
      <c r="T1" s="1"/>
      <c r="U1" s="98"/>
      <c r="V1" s="1"/>
      <c r="W1" s="1"/>
      <c r="X1" s="98"/>
      <c r="Y1" s="1"/>
    </row>
    <row r="2" spans="1:25" ht="16">
      <c r="A2" s="3"/>
      <c r="B2" s="319" t="s">
        <v>753</v>
      </c>
      <c r="C2" s="319"/>
      <c r="D2" s="319"/>
      <c r="E2" s="3"/>
      <c r="F2" s="3"/>
      <c r="G2" s="3"/>
      <c r="H2" s="2"/>
      <c r="I2" s="1"/>
      <c r="J2" s="1"/>
      <c r="K2" s="79"/>
      <c r="L2" s="38" t="s">
        <v>664</v>
      </c>
      <c r="M2" s="81" t="s">
        <v>691</v>
      </c>
      <c r="N2" s="81">
        <v>497</v>
      </c>
      <c r="O2" s="79"/>
      <c r="P2" s="2" t="s">
        <v>11</v>
      </c>
      <c r="Q2" s="2"/>
      <c r="R2" s="37"/>
      <c r="S2" s="2"/>
      <c r="T2" s="1"/>
      <c r="U2" s="98"/>
      <c r="V2" s="1"/>
      <c r="W2" s="1"/>
      <c r="X2" s="98"/>
      <c r="Y2" s="1"/>
    </row>
    <row r="3" spans="1:25" ht="24">
      <c r="A3" s="3"/>
      <c r="B3" s="320" t="s">
        <v>754</v>
      </c>
      <c r="C3" s="320"/>
      <c r="D3" s="320"/>
      <c r="E3" s="3"/>
      <c r="F3" s="3"/>
      <c r="G3" s="3"/>
      <c r="H3" s="2"/>
      <c r="I3" s="1"/>
      <c r="J3" s="1"/>
      <c r="K3" s="79"/>
      <c r="L3" s="38" t="s">
        <v>664</v>
      </c>
      <c r="M3" s="81" t="s">
        <v>693</v>
      </c>
      <c r="N3" s="81">
        <f>IFERROR(MATCH($N$2,MeritBonus!$A$1:$A$501,0),"Not Found")</f>
        <v>9</v>
      </c>
      <c r="O3" s="79"/>
      <c r="P3" s="2"/>
      <c r="Q3" s="2"/>
      <c r="R3" s="37"/>
      <c r="S3" s="2"/>
      <c r="T3" s="1"/>
      <c r="U3" s="98"/>
      <c r="V3" s="1"/>
      <c r="W3" s="1"/>
      <c r="X3" s="98"/>
      <c r="Y3" s="1"/>
    </row>
    <row r="4" spans="1:25" ht="24">
      <c r="A4" s="3"/>
      <c r="B4" s="320" t="s">
        <v>694</v>
      </c>
      <c r="C4" s="320"/>
      <c r="D4" s="320"/>
      <c r="E4" s="3"/>
      <c r="F4" s="3"/>
      <c r="G4" s="3"/>
      <c r="H4" s="2"/>
      <c r="I4" s="1"/>
      <c r="J4" s="1"/>
      <c r="K4" s="39"/>
      <c r="L4" s="38" t="s">
        <v>664</v>
      </c>
      <c r="M4" s="39"/>
      <c r="N4" s="39"/>
      <c r="O4" s="39"/>
      <c r="P4" s="2"/>
      <c r="Q4" s="2"/>
      <c r="R4" s="37"/>
      <c r="S4" s="2"/>
      <c r="T4" s="1"/>
      <c r="U4" s="98"/>
      <c r="V4" s="1"/>
      <c r="W4" s="1"/>
      <c r="X4" s="98"/>
      <c r="Y4" s="1"/>
    </row>
    <row r="5" spans="1:25" ht="24">
      <c r="A5" s="3"/>
      <c r="B5" s="127"/>
      <c r="C5" s="127"/>
      <c r="D5" s="127"/>
      <c r="E5" s="3"/>
      <c r="F5" s="3"/>
      <c r="G5" s="3"/>
      <c r="H5" s="2"/>
      <c r="I5" s="1"/>
      <c r="J5" s="1"/>
      <c r="K5" s="39"/>
      <c r="L5" s="38" t="s">
        <v>664</v>
      </c>
      <c r="M5" s="39"/>
      <c r="N5" s="39"/>
      <c r="O5" s="39"/>
      <c r="P5" s="2"/>
      <c r="Q5" s="2"/>
      <c r="R5" s="37"/>
      <c r="S5" s="2"/>
      <c r="T5" s="1"/>
      <c r="U5" s="98"/>
      <c r="V5" s="1"/>
      <c r="W5" s="1"/>
      <c r="X5" s="98"/>
      <c r="Y5" s="1"/>
    </row>
    <row r="6" spans="1:25" ht="19">
      <c r="A6" s="3"/>
      <c r="B6" s="128" t="str">
        <f ca="1">"Dear " &amp;N11 &amp;","</f>
        <v>Dear Jimmy,</v>
      </c>
      <c r="C6" s="128"/>
      <c r="D6" s="128"/>
      <c r="E6" s="3"/>
      <c r="F6" s="3"/>
      <c r="G6" s="3"/>
      <c r="H6" s="2"/>
      <c r="I6" s="1"/>
      <c r="J6" s="1"/>
      <c r="K6" s="38"/>
      <c r="L6" s="38" t="s">
        <v>664</v>
      </c>
      <c r="M6" s="80" t="s">
        <v>755</v>
      </c>
      <c r="N6" s="80" t="str">
        <f ca="1">INDIRECT("'MeritBonus'!"&amp;"G"&amp;$N$3)</f>
        <v>Jimmy Mcmulin</v>
      </c>
      <c r="O6" s="38"/>
      <c r="P6" s="2"/>
      <c r="Q6" s="2"/>
      <c r="R6" s="37"/>
      <c r="S6" s="2"/>
      <c r="T6" s="1"/>
      <c r="U6" s="98"/>
      <c r="V6" s="1"/>
      <c r="W6" s="1"/>
      <c r="X6" s="98"/>
      <c r="Y6" s="1"/>
    </row>
    <row r="7" spans="1:25" ht="19">
      <c r="A7" s="3"/>
      <c r="B7" s="128"/>
      <c r="C7" s="128"/>
      <c r="D7" s="128"/>
      <c r="E7" s="3"/>
      <c r="F7" s="3"/>
      <c r="G7" s="3"/>
      <c r="H7" s="2"/>
      <c r="I7" s="1"/>
      <c r="J7" s="1"/>
      <c r="K7" s="38"/>
      <c r="L7" s="38" t="s">
        <v>664</v>
      </c>
      <c r="M7" s="80" t="s">
        <v>756</v>
      </c>
      <c r="N7" s="80">
        <f ca="1">INDIRECT("'MeritBonus'!"&amp;"T"&amp;$N$3)</f>
        <v>70000</v>
      </c>
      <c r="O7" s="38"/>
      <c r="P7" s="2"/>
      <c r="Q7" s="2"/>
      <c r="R7" s="37"/>
      <c r="S7" s="2"/>
      <c r="T7" s="1"/>
      <c r="U7" s="98"/>
      <c r="V7" s="1"/>
      <c r="W7" s="1"/>
      <c r="X7" s="98"/>
      <c r="Y7" s="1"/>
    </row>
    <row r="8" spans="1:25" ht="19">
      <c r="A8" s="3"/>
      <c r="B8" s="318" t="s">
        <v>757</v>
      </c>
      <c r="C8" s="318"/>
      <c r="D8" s="318"/>
      <c r="E8" s="3"/>
      <c r="F8" s="3"/>
      <c r="G8" s="3"/>
      <c r="H8" s="2"/>
      <c r="I8" s="1"/>
      <c r="J8" s="1"/>
      <c r="K8" s="38"/>
      <c r="L8" s="38" t="s">
        <v>664</v>
      </c>
      <c r="M8" s="80" t="s">
        <v>758</v>
      </c>
      <c r="N8" s="199">
        <f ca="1">INDIRECT("'MeritBonus'!"&amp;"AT"&amp;$N$3)</f>
        <v>0</v>
      </c>
      <c r="O8" s="38"/>
      <c r="P8" s="2"/>
      <c r="Q8" s="2"/>
      <c r="R8" s="37"/>
      <c r="S8" s="2"/>
      <c r="T8" s="1"/>
      <c r="U8" s="98"/>
      <c r="V8" s="1"/>
      <c r="W8" s="1"/>
      <c r="X8" s="98"/>
      <c r="Y8" s="1"/>
    </row>
    <row r="9" spans="1:25" ht="19">
      <c r="A9" s="16"/>
      <c r="B9" s="128"/>
      <c r="C9" s="129"/>
      <c r="D9" s="129"/>
      <c r="E9" s="16"/>
      <c r="F9" s="3"/>
      <c r="G9" s="16"/>
      <c r="H9" s="2"/>
      <c r="I9" s="1"/>
      <c r="J9" s="1"/>
      <c r="K9" s="38"/>
      <c r="L9" s="38" t="s">
        <v>664</v>
      </c>
      <c r="M9" s="80" t="s">
        <v>759</v>
      </c>
      <c r="N9" s="80">
        <f ca="1">INDIRECT("'MeritBonus'!"&amp;"AR"&amp;$N$3)</f>
        <v>0</v>
      </c>
      <c r="O9" s="38"/>
      <c r="P9" s="2"/>
      <c r="Q9" s="2"/>
      <c r="R9" s="37"/>
      <c r="S9" s="2"/>
      <c r="T9" s="1"/>
      <c r="U9" s="98"/>
      <c r="V9" s="1"/>
      <c r="W9" s="1"/>
      <c r="X9" s="98"/>
      <c r="Y9" s="1"/>
    </row>
    <row r="10" spans="1:25" ht="19">
      <c r="A10" s="3"/>
      <c r="B10" s="318" t="str">
        <f ca="1">"This has been been a great year for Acme, and in lieu of that we are please to raise your base compensation from  " &amp; TEXT(N7,"$####,###,##0.00") &amp; " to " &amp; TEXT(N10,"$####,###,##0.00") &amp; "  This represents an increase of " &amp; TEXT(N8,"##.00%") &amp; " (" &amp; TEXT(N9,"$####,###,##0.00") &amp;")."</f>
        <v>This has been been a great year for Acme, and in lieu of that we are please to raise your base compensation from  $70,000.00 to $70,000.00  This represents an increase of .00% ($0.00).</v>
      </c>
      <c r="C10" s="318"/>
      <c r="D10" s="318"/>
      <c r="E10" s="3"/>
      <c r="F10" s="3"/>
      <c r="G10" s="3"/>
      <c r="H10" s="2"/>
      <c r="I10" s="1"/>
      <c r="J10" s="1"/>
      <c r="K10" s="38"/>
      <c r="L10" s="38" t="s">
        <v>664</v>
      </c>
      <c r="M10" s="80" t="s">
        <v>760</v>
      </c>
      <c r="N10" s="80">
        <f ca="1">INDIRECT("'MeritBonus'!"&amp;"AU"&amp;$N$3)</f>
        <v>70000</v>
      </c>
      <c r="O10" s="38"/>
      <c r="P10" s="2"/>
      <c r="Q10" s="2"/>
      <c r="R10" s="37"/>
      <c r="S10" s="2"/>
      <c r="T10" s="1"/>
      <c r="U10" s="98"/>
      <c r="V10" s="1"/>
      <c r="W10" s="1"/>
      <c r="X10" s="98"/>
      <c r="Y10" s="1"/>
    </row>
    <row r="11" spans="1:25" ht="19">
      <c r="A11" s="16"/>
      <c r="B11" s="128"/>
      <c r="C11" s="129"/>
      <c r="D11" s="129"/>
      <c r="E11" s="16"/>
      <c r="F11" s="3"/>
      <c r="G11" s="16"/>
      <c r="H11" s="2"/>
      <c r="I11" s="1"/>
      <c r="J11" s="1"/>
      <c r="K11" s="38"/>
      <c r="L11" s="38" t="s">
        <v>664</v>
      </c>
      <c r="M11" s="80" t="s">
        <v>761</v>
      </c>
      <c r="N11" s="80" t="str">
        <f ca="1">LEFT(N6,FIND(" ",N6,1)-1)</f>
        <v>Jimmy</v>
      </c>
      <c r="O11" s="38"/>
      <c r="P11" s="2"/>
      <c r="Q11" s="2"/>
      <c r="R11" s="37"/>
      <c r="S11" s="2"/>
      <c r="T11" s="1"/>
      <c r="U11" s="98"/>
      <c r="V11" s="1"/>
      <c r="W11" s="1"/>
      <c r="X11" s="98"/>
      <c r="Y11" s="1"/>
    </row>
    <row r="12" spans="1:25" ht="19">
      <c r="A12" s="3"/>
      <c r="B12" s="318" t="s">
        <v>762</v>
      </c>
      <c r="C12" s="318"/>
      <c r="D12" s="318"/>
      <c r="E12" s="2"/>
      <c r="F12" s="3"/>
      <c r="G12" s="3"/>
      <c r="H12" s="2"/>
      <c r="I12" s="1"/>
      <c r="J12" s="1"/>
      <c r="K12" s="38"/>
      <c r="L12" s="38" t="s">
        <v>664</v>
      </c>
      <c r="M12" s="1"/>
      <c r="N12" s="1"/>
      <c r="O12" s="38"/>
      <c r="P12" s="2"/>
      <c r="Q12" s="2"/>
      <c r="R12" s="37"/>
      <c r="S12" s="2"/>
      <c r="T12" s="1"/>
      <c r="U12" s="98"/>
      <c r="V12" s="1"/>
      <c r="W12" s="1"/>
      <c r="X12" s="98"/>
      <c r="Y12" s="1"/>
    </row>
    <row r="13" spans="1:25" ht="18">
      <c r="A13" s="3"/>
      <c r="B13" s="51"/>
      <c r="C13" s="51"/>
      <c r="D13" s="51"/>
      <c r="E13" s="3"/>
      <c r="F13" s="3"/>
      <c r="G13" s="3"/>
      <c r="H13" s="2"/>
      <c r="I13" s="1"/>
      <c r="J13" s="1"/>
      <c r="K13" s="38"/>
      <c r="L13" s="38" t="s">
        <v>664</v>
      </c>
      <c r="M13" s="1"/>
      <c r="N13" s="1"/>
      <c r="O13" s="38"/>
      <c r="P13" s="2"/>
      <c r="Q13" s="2"/>
      <c r="R13" s="37"/>
      <c r="S13" s="2"/>
      <c r="T13" s="1"/>
      <c r="U13" s="98"/>
      <c r="V13" s="1"/>
      <c r="W13" s="1"/>
      <c r="X13" s="98"/>
      <c r="Y13" s="1"/>
    </row>
    <row r="14" spans="1:25" ht="18">
      <c r="A14" s="16"/>
      <c r="B14" s="47"/>
      <c r="C14" s="52"/>
      <c r="D14" s="52"/>
      <c r="E14" s="16"/>
      <c r="F14" s="3"/>
      <c r="G14" s="16"/>
      <c r="H14" s="2"/>
      <c r="I14" s="1"/>
      <c r="J14" s="1"/>
      <c r="K14" s="38"/>
      <c r="L14" s="38" t="s">
        <v>664</v>
      </c>
      <c r="M14" s="1"/>
      <c r="N14" s="1"/>
      <c r="O14" s="38"/>
      <c r="P14" s="2"/>
      <c r="Q14" s="2"/>
      <c r="R14" s="37"/>
      <c r="S14" s="2"/>
      <c r="T14" s="1"/>
      <c r="U14" s="98"/>
      <c r="V14" s="1"/>
      <c r="W14" s="1"/>
      <c r="X14" s="98"/>
      <c r="Y14" s="1"/>
    </row>
    <row r="15" spans="1:25" ht="18">
      <c r="A15" s="3"/>
      <c r="B15" s="48"/>
      <c r="C15" s="48"/>
      <c r="D15" s="48"/>
      <c r="E15" s="2"/>
      <c r="F15" s="3"/>
      <c r="G15" s="3"/>
      <c r="H15" s="2"/>
      <c r="I15" s="38"/>
      <c r="J15" s="38"/>
      <c r="K15" s="38"/>
      <c r="L15" s="38" t="s">
        <v>664</v>
      </c>
      <c r="M15" s="38"/>
      <c r="N15" s="38"/>
      <c r="O15" s="38"/>
      <c r="P15" s="2"/>
      <c r="Q15" s="2"/>
      <c r="R15" s="37"/>
      <c r="S15" s="2"/>
      <c r="T15" s="1"/>
      <c r="U15" s="98"/>
      <c r="V15" s="1"/>
      <c r="W15" s="1"/>
      <c r="X15" s="98"/>
      <c r="Y15" s="1"/>
    </row>
    <row r="16" spans="1:25" ht="18">
      <c r="A16" s="3"/>
      <c r="B16" s="49"/>
      <c r="C16" s="50"/>
      <c r="D16" s="47"/>
      <c r="E16" s="2"/>
      <c r="F16" s="3"/>
      <c r="G16" s="3"/>
      <c r="H16" s="2"/>
      <c r="I16" s="38"/>
      <c r="J16" s="38"/>
      <c r="K16" s="38"/>
      <c r="L16" s="38" t="s">
        <v>664</v>
      </c>
      <c r="M16" s="38"/>
      <c r="N16" s="38"/>
      <c r="O16" s="38"/>
      <c r="P16" s="2"/>
      <c r="Q16" s="2"/>
      <c r="R16" s="37"/>
      <c r="S16" s="2"/>
      <c r="T16" s="1"/>
      <c r="U16" s="98"/>
      <c r="V16" s="1"/>
      <c r="W16" s="1"/>
      <c r="X16" s="98"/>
      <c r="Y16" s="1"/>
    </row>
    <row r="17" spans="1:25" ht="16">
      <c r="A17" s="3"/>
      <c r="B17" s="44"/>
      <c r="C17" s="46"/>
      <c r="D17" s="45"/>
      <c r="E17" s="2"/>
      <c r="F17" s="3"/>
      <c r="G17" s="3"/>
      <c r="H17" s="2"/>
      <c r="I17" s="38"/>
      <c r="J17" s="38"/>
      <c r="K17" s="38"/>
      <c r="L17" s="38" t="s">
        <v>664</v>
      </c>
      <c r="M17" s="38"/>
      <c r="N17" s="38"/>
      <c r="O17" s="38"/>
      <c r="P17" s="2"/>
      <c r="Q17" s="2"/>
      <c r="R17" s="37"/>
      <c r="S17" s="2"/>
      <c r="T17" s="1"/>
      <c r="U17" s="98"/>
      <c r="V17" s="1"/>
      <c r="W17" s="1"/>
      <c r="X17" s="98"/>
      <c r="Y17" s="1"/>
    </row>
    <row r="18" spans="1:25" ht="16">
      <c r="A18" s="3"/>
      <c r="B18" s="41"/>
      <c r="C18" s="42"/>
      <c r="D18" s="40"/>
      <c r="E18" s="2"/>
      <c r="F18" s="3"/>
      <c r="G18" s="3"/>
      <c r="H18" s="2"/>
      <c r="I18" s="38"/>
      <c r="J18" s="38"/>
      <c r="K18" s="38"/>
      <c r="L18" s="38" t="s">
        <v>664</v>
      </c>
      <c r="M18" s="38"/>
      <c r="N18" s="38"/>
      <c r="O18" s="38"/>
      <c r="P18" s="2"/>
      <c r="Q18" s="2"/>
      <c r="R18" s="37"/>
      <c r="S18" s="2"/>
      <c r="T18" s="1"/>
      <c r="U18" s="98"/>
      <c r="V18" s="1"/>
      <c r="W18" s="1"/>
      <c r="X18" s="98"/>
      <c r="Y18" s="1"/>
    </row>
    <row r="19" spans="1:25" ht="19">
      <c r="A19" s="3"/>
      <c r="B19" s="41"/>
      <c r="C19" s="130" t="s">
        <v>763</v>
      </c>
      <c r="D19" s="40"/>
      <c r="E19" s="2"/>
      <c r="F19" s="3"/>
      <c r="G19" s="3"/>
      <c r="H19" s="2"/>
      <c r="I19" s="38"/>
      <c r="J19" s="38"/>
      <c r="K19" s="38"/>
      <c r="L19" s="38" t="s">
        <v>664</v>
      </c>
      <c r="M19" s="38"/>
      <c r="N19" s="38"/>
      <c r="O19" s="38"/>
      <c r="P19" s="2"/>
      <c r="Q19" s="2"/>
      <c r="R19" s="37"/>
      <c r="S19" s="2"/>
      <c r="T19" s="1"/>
      <c r="U19" s="98"/>
      <c r="V19" s="1"/>
      <c r="W19" s="1"/>
      <c r="X19" s="98"/>
      <c r="Y19" s="1"/>
    </row>
    <row r="20" spans="1:25" ht="23">
      <c r="A20" s="16"/>
      <c r="B20" s="17"/>
      <c r="C20" s="43"/>
      <c r="D20" s="18"/>
      <c r="E20" s="16"/>
      <c r="F20" s="3"/>
      <c r="G20" s="16"/>
      <c r="H20" s="2"/>
      <c r="I20" s="2"/>
      <c r="J20" s="2"/>
      <c r="K20" s="2"/>
      <c r="L20" s="38" t="s">
        <v>664</v>
      </c>
      <c r="M20" s="2"/>
      <c r="N20" s="2"/>
      <c r="O20" s="2"/>
      <c r="P20" s="2"/>
      <c r="Q20" s="2"/>
      <c r="R20" s="37"/>
      <c r="S20" s="2"/>
      <c r="T20" s="1"/>
      <c r="U20" s="98"/>
      <c r="V20" s="1"/>
      <c r="W20" s="1"/>
      <c r="X20" s="98"/>
      <c r="Y20" s="1"/>
    </row>
    <row r="21" spans="1:25" ht="48">
      <c r="A21" s="9"/>
      <c r="B21" s="19"/>
      <c r="C21" s="111" t="s">
        <v>734</v>
      </c>
      <c r="D21" s="33"/>
      <c r="E21" s="9"/>
      <c r="F21" s="3"/>
      <c r="G21" s="9"/>
      <c r="H21" s="2"/>
      <c r="I21" s="2"/>
      <c r="J21" s="2"/>
      <c r="K21" s="2"/>
      <c r="L21" s="38" t="s">
        <v>664</v>
      </c>
      <c r="M21" s="2"/>
      <c r="N21" s="2"/>
      <c r="O21" s="2"/>
      <c r="P21" s="2"/>
      <c r="Q21" s="2"/>
      <c r="R21" s="37"/>
      <c r="S21" s="2"/>
      <c r="T21" s="1"/>
      <c r="U21" s="98"/>
      <c r="V21" s="1"/>
      <c r="W21" s="1"/>
      <c r="X21" s="98"/>
      <c r="Y21" s="1"/>
    </row>
  </sheetData>
  <mergeCells count="6">
    <mergeCell ref="B12:D12"/>
    <mergeCell ref="B2:D2"/>
    <mergeCell ref="B3:D3"/>
    <mergeCell ref="B4:D4"/>
    <mergeCell ref="B8:D8"/>
    <mergeCell ref="B10:D10"/>
  </mergeCells>
  <conditionalFormatting sqref="C13">
    <cfRule type="cellIs" dxfId="2" priority="1" operator="equal">
      <formula>"Below"</formula>
    </cfRule>
    <cfRule type="cellIs" dxfId="1" priority="2" operator="equal">
      <formula>"Exceeds"</formula>
    </cfRule>
    <cfRule type="cellIs" dxfId="0" priority="3" operator="equal">
      <formula>"Meets"</formula>
    </cfRule>
  </conditionalFormatting>
  <dataValidations count="1">
    <dataValidation type="decimal" operator="lessThanOrEqual" allowBlank="1" showErrorMessage="1" sqref="C14" xr:uid="{00000000-0002-0000-0700-000000000000}">
      <formula1>0.06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43"/>
  <sheetViews>
    <sheetView workbookViewId="0"/>
  </sheetViews>
  <sheetFormatPr baseColWidth="10" defaultRowHeight="14"/>
  <cols>
    <col min="1" max="1" width="14.6640625" customWidth="1"/>
    <col min="2" max="2" width="15.5" customWidth="1"/>
    <col min="3" max="3" width="15.83203125" customWidth="1"/>
    <col min="4" max="4" width="7" customWidth="1"/>
    <col min="5" max="5" width="19.33203125" customWidth="1"/>
    <col min="6" max="6" width="25.33203125" customWidth="1"/>
    <col min="7" max="9" width="21.6640625" customWidth="1"/>
    <col min="10" max="10" width="14.1640625" customWidth="1"/>
    <col min="11" max="11" width="8" customWidth="1"/>
    <col min="12" max="17" width="9" customWidth="1"/>
  </cols>
  <sheetData>
    <row r="1" spans="1:17">
      <c r="A1" s="20" t="s">
        <v>764</v>
      </c>
      <c r="B1" s="20" t="s">
        <v>765</v>
      </c>
      <c r="C1" s="20" t="s">
        <v>50</v>
      </c>
      <c r="D1" s="20" t="s">
        <v>51</v>
      </c>
      <c r="E1" s="20" t="s">
        <v>766</v>
      </c>
      <c r="F1" s="20" t="s">
        <v>54</v>
      </c>
      <c r="G1" s="3"/>
      <c r="H1" s="6" t="s">
        <v>53</v>
      </c>
      <c r="I1" s="6" t="s">
        <v>767</v>
      </c>
      <c r="J1" s="37"/>
      <c r="K1" s="2"/>
      <c r="L1" s="1"/>
      <c r="M1" s="98"/>
      <c r="N1" s="1"/>
      <c r="O1" s="1"/>
      <c r="P1" s="98"/>
      <c r="Q1" s="1"/>
    </row>
    <row r="2" spans="1:17">
      <c r="A2" s="3" t="s">
        <v>158</v>
      </c>
      <c r="B2" s="3" t="s">
        <v>177</v>
      </c>
      <c r="C2" s="3" t="s">
        <v>152</v>
      </c>
      <c r="D2" s="3" t="s">
        <v>211</v>
      </c>
      <c r="E2" s="3" t="s">
        <v>768</v>
      </c>
      <c r="F2" s="3" t="s">
        <v>155</v>
      </c>
      <c r="G2" s="3"/>
      <c r="H2" s="133" t="s">
        <v>154</v>
      </c>
      <c r="I2" s="3" t="s">
        <v>769</v>
      </c>
      <c r="J2" s="37"/>
      <c r="K2" s="2"/>
      <c r="L2" s="1"/>
      <c r="M2" s="98"/>
      <c r="N2" s="1"/>
      <c r="O2" s="1"/>
      <c r="P2" s="98"/>
      <c r="Q2" s="1"/>
    </row>
    <row r="3" spans="1:17">
      <c r="A3" s="3" t="s">
        <v>178</v>
      </c>
      <c r="B3" s="3" t="s">
        <v>255</v>
      </c>
      <c r="C3" s="3" t="s">
        <v>220</v>
      </c>
      <c r="D3" s="3" t="s">
        <v>153</v>
      </c>
      <c r="E3" s="3" t="s">
        <v>53</v>
      </c>
      <c r="F3" s="3" t="s">
        <v>770</v>
      </c>
      <c r="G3" s="3"/>
      <c r="H3" s="35" t="s">
        <v>177</v>
      </c>
      <c r="I3" s="3" t="s">
        <v>771</v>
      </c>
      <c r="J3" s="37"/>
      <c r="K3" s="2"/>
      <c r="L3" s="1"/>
      <c r="M3" s="98"/>
      <c r="N3" s="1"/>
      <c r="O3" s="1"/>
      <c r="P3" s="98"/>
      <c r="Q3" s="1"/>
    </row>
    <row r="4" spans="1:17">
      <c r="A4" s="3" t="s">
        <v>172</v>
      </c>
      <c r="B4" s="3" t="s">
        <v>320</v>
      </c>
      <c r="C4" s="3" t="s">
        <v>252</v>
      </c>
      <c r="D4" s="3" t="s">
        <v>253</v>
      </c>
      <c r="E4" s="3" t="s">
        <v>772</v>
      </c>
      <c r="F4" s="3"/>
      <c r="G4" s="3"/>
      <c r="H4" s="35" t="s">
        <v>197</v>
      </c>
      <c r="I4" s="3" t="s">
        <v>773</v>
      </c>
      <c r="J4" s="37"/>
      <c r="K4" s="2"/>
      <c r="L4" s="1"/>
      <c r="M4" s="98"/>
      <c r="N4" s="1"/>
      <c r="O4" s="1"/>
      <c r="P4" s="98"/>
      <c r="Q4" s="1"/>
    </row>
    <row r="5" spans="1:17">
      <c r="A5" s="3" t="s">
        <v>774</v>
      </c>
      <c r="B5" s="3" t="s">
        <v>197</v>
      </c>
      <c r="C5" s="3" t="s">
        <v>208</v>
      </c>
      <c r="D5" s="3" t="s">
        <v>319</v>
      </c>
      <c r="E5" s="3" t="s">
        <v>775</v>
      </c>
      <c r="F5" s="3"/>
      <c r="G5" s="3"/>
      <c r="H5" s="35" t="s">
        <v>203</v>
      </c>
      <c r="I5" s="3" t="s">
        <v>776</v>
      </c>
      <c r="J5" s="37"/>
      <c r="K5" s="2"/>
      <c r="L5" s="1"/>
      <c r="M5" s="98"/>
      <c r="N5" s="1"/>
      <c r="O5" s="1"/>
      <c r="P5" s="98"/>
      <c r="Q5" s="1"/>
    </row>
    <row r="6" spans="1:17">
      <c r="A6" s="3"/>
      <c r="B6" s="3" t="s">
        <v>287</v>
      </c>
      <c r="C6" s="3"/>
      <c r="D6" s="3" t="s">
        <v>333</v>
      </c>
      <c r="E6" s="3" t="s">
        <v>526</v>
      </c>
      <c r="F6" s="3"/>
      <c r="G6" s="3"/>
      <c r="H6" s="35" t="s">
        <v>198</v>
      </c>
      <c r="I6" s="3" t="s">
        <v>777</v>
      </c>
      <c r="J6" s="37"/>
      <c r="K6" s="2"/>
      <c r="L6" s="1"/>
      <c r="M6" s="98"/>
      <c r="N6" s="1"/>
      <c r="O6" s="1"/>
      <c r="P6" s="98"/>
      <c r="Q6" s="1"/>
    </row>
    <row r="7" spans="1:17">
      <c r="A7" s="3"/>
      <c r="B7" s="3" t="s">
        <v>203</v>
      </c>
      <c r="C7" s="3"/>
      <c r="D7" s="3" t="s">
        <v>221</v>
      </c>
      <c r="E7" s="3" t="s">
        <v>778</v>
      </c>
      <c r="F7" s="3"/>
      <c r="G7" s="3"/>
      <c r="H7" s="35" t="s">
        <v>254</v>
      </c>
      <c r="I7" s="3" t="s">
        <v>779</v>
      </c>
      <c r="J7" s="37"/>
      <c r="K7" s="2"/>
      <c r="L7" s="1"/>
      <c r="M7" s="98"/>
      <c r="N7" s="1"/>
      <c r="O7" s="1"/>
      <c r="P7" s="98"/>
      <c r="Q7" s="1"/>
    </row>
    <row r="8" spans="1:17">
      <c r="A8" s="3"/>
      <c r="B8" s="3" t="s">
        <v>334</v>
      </c>
      <c r="C8" s="3"/>
      <c r="D8" s="3" t="s">
        <v>480</v>
      </c>
      <c r="E8" s="3" t="s">
        <v>780</v>
      </c>
      <c r="F8" s="3"/>
      <c r="G8" s="3"/>
      <c r="H8" s="35" t="s">
        <v>287</v>
      </c>
      <c r="I8" s="3" t="s">
        <v>781</v>
      </c>
      <c r="J8" s="37"/>
      <c r="K8" s="2"/>
      <c r="L8" s="1"/>
      <c r="M8" s="98"/>
      <c r="N8" s="1"/>
      <c r="O8" s="1"/>
      <c r="P8" s="98"/>
      <c r="Q8" s="1"/>
    </row>
    <row r="9" spans="1:17">
      <c r="A9" s="3"/>
      <c r="B9" s="3" t="s">
        <v>198</v>
      </c>
      <c r="C9" s="3"/>
      <c r="D9" s="3" t="s">
        <v>193</v>
      </c>
      <c r="E9" s="3" t="s">
        <v>782</v>
      </c>
      <c r="F9" s="3"/>
      <c r="G9" s="3"/>
      <c r="H9" s="35" t="s">
        <v>320</v>
      </c>
      <c r="I9" s="3" t="s">
        <v>783</v>
      </c>
      <c r="J9" s="37"/>
      <c r="K9" s="2"/>
      <c r="L9" s="1"/>
      <c r="M9" s="98"/>
      <c r="N9" s="1"/>
      <c r="O9" s="1"/>
      <c r="P9" s="98"/>
      <c r="Q9" s="1"/>
    </row>
    <row r="10" spans="1:17">
      <c r="A10" s="3"/>
      <c r="B10" s="3" t="s">
        <v>502</v>
      </c>
      <c r="C10" s="3"/>
      <c r="D10" s="3" t="s">
        <v>209</v>
      </c>
      <c r="E10" s="3" t="s">
        <v>784</v>
      </c>
      <c r="F10" s="3"/>
      <c r="G10" s="3"/>
      <c r="H10" s="35" t="s">
        <v>334</v>
      </c>
      <c r="I10" s="3" t="s">
        <v>785</v>
      </c>
      <c r="J10" s="37"/>
      <c r="K10" s="2"/>
      <c r="L10" s="1"/>
      <c r="M10" s="98"/>
      <c r="N10" s="1"/>
      <c r="O10" s="1"/>
      <c r="P10" s="98"/>
      <c r="Q10" s="1"/>
    </row>
    <row r="11" spans="1:17">
      <c r="A11" s="3"/>
      <c r="B11" s="3" t="s">
        <v>254</v>
      </c>
      <c r="C11" s="3"/>
      <c r="D11" s="3" t="s">
        <v>328</v>
      </c>
      <c r="E11" s="3" t="s">
        <v>786</v>
      </c>
      <c r="F11" s="3"/>
      <c r="G11" s="3"/>
      <c r="H11" s="35" t="s">
        <v>255</v>
      </c>
      <c r="I11" s="3" t="s">
        <v>787</v>
      </c>
      <c r="J11" s="37"/>
      <c r="K11" s="2"/>
      <c r="L11" s="1"/>
      <c r="M11" s="98"/>
      <c r="N11" s="1"/>
      <c r="O11" s="1"/>
      <c r="P11" s="98"/>
      <c r="Q11" s="1"/>
    </row>
    <row r="12" spans="1:17">
      <c r="A12" s="3"/>
      <c r="B12" s="3" t="s">
        <v>154</v>
      </c>
      <c r="C12" s="3"/>
      <c r="D12" s="3"/>
      <c r="E12" s="3" t="s">
        <v>788</v>
      </c>
      <c r="F12" s="3"/>
      <c r="G12" s="3"/>
      <c r="H12" s="35" t="s">
        <v>161</v>
      </c>
      <c r="I12" s="3" t="s">
        <v>789</v>
      </c>
      <c r="J12" s="37"/>
      <c r="K12" s="2"/>
      <c r="L12" s="1"/>
      <c r="M12" s="98"/>
      <c r="N12" s="1"/>
      <c r="O12" s="1"/>
      <c r="P12" s="98"/>
      <c r="Q12" s="1"/>
    </row>
    <row r="13" spans="1:17">
      <c r="A13" s="3"/>
      <c r="B13" s="22" t="s">
        <v>413</v>
      </c>
      <c r="C13" s="3"/>
      <c r="D13" s="3"/>
      <c r="E13" s="3" t="s">
        <v>790</v>
      </c>
      <c r="F13" s="3"/>
      <c r="G13" s="3"/>
      <c r="H13" s="35" t="s">
        <v>163</v>
      </c>
      <c r="I13" s="3" t="s">
        <v>791</v>
      </c>
      <c r="J13" s="37"/>
      <c r="K13" s="2"/>
      <c r="L13" s="1"/>
      <c r="M13" s="98"/>
      <c r="N13" s="1"/>
      <c r="O13" s="1"/>
      <c r="P13" s="98"/>
      <c r="Q13" s="1"/>
    </row>
    <row r="14" spans="1:17">
      <c r="A14" s="2"/>
      <c r="B14" s="2" t="s">
        <v>163</v>
      </c>
      <c r="C14" s="2"/>
      <c r="D14" s="2"/>
      <c r="E14" s="2"/>
      <c r="F14" s="2"/>
      <c r="G14" s="2"/>
      <c r="H14" s="35" t="s">
        <v>162</v>
      </c>
      <c r="I14" s="32" t="s">
        <v>792</v>
      </c>
      <c r="J14" s="37"/>
      <c r="K14" s="2"/>
      <c r="L14" s="1"/>
      <c r="M14" s="98"/>
      <c r="N14" s="1"/>
      <c r="O14" s="1"/>
      <c r="P14" s="98"/>
      <c r="Q14" s="1"/>
    </row>
    <row r="15" spans="1:17">
      <c r="A15" s="2"/>
      <c r="B15" s="2" t="s">
        <v>161</v>
      </c>
      <c r="C15" s="2"/>
      <c r="D15" s="2"/>
      <c r="E15" s="2"/>
      <c r="F15" s="2"/>
      <c r="G15" s="2"/>
      <c r="H15" s="133" t="s">
        <v>257</v>
      </c>
      <c r="I15" s="32" t="s">
        <v>793</v>
      </c>
      <c r="J15" s="37"/>
      <c r="K15" s="2"/>
      <c r="L15" s="1"/>
      <c r="M15" s="98"/>
      <c r="N15" s="1"/>
      <c r="O15" s="1"/>
      <c r="P15" s="98"/>
      <c r="Q15" s="1"/>
    </row>
    <row r="16" spans="1:17">
      <c r="A16" s="2"/>
      <c r="B16" s="2" t="s">
        <v>530</v>
      </c>
      <c r="C16" s="2"/>
      <c r="D16" s="2"/>
      <c r="E16" s="2"/>
      <c r="F16" s="2"/>
      <c r="G16" s="2"/>
      <c r="H16" s="133" t="s">
        <v>167</v>
      </c>
      <c r="I16" s="32" t="s">
        <v>794</v>
      </c>
      <c r="J16" s="37"/>
      <c r="K16" s="2"/>
      <c r="L16" s="1"/>
      <c r="M16" s="98"/>
      <c r="N16" s="1"/>
      <c r="O16" s="1"/>
      <c r="P16" s="98"/>
      <c r="Q16" s="1"/>
    </row>
    <row r="17" spans="1:17">
      <c r="A17" s="2"/>
      <c r="B17" s="2" t="s">
        <v>162</v>
      </c>
      <c r="C17" s="2"/>
      <c r="D17" s="2"/>
      <c r="E17" s="2"/>
      <c r="F17" s="2"/>
      <c r="G17" s="2"/>
      <c r="H17" s="133" t="s">
        <v>200</v>
      </c>
      <c r="I17" s="32" t="s">
        <v>795</v>
      </c>
      <c r="J17" s="37"/>
      <c r="K17" s="2"/>
      <c r="L17" s="1"/>
      <c r="M17" s="98"/>
      <c r="N17" s="1"/>
      <c r="O17" s="1"/>
      <c r="P17" s="98"/>
      <c r="Q17" s="1"/>
    </row>
    <row r="18" spans="1:17">
      <c r="A18" s="2"/>
      <c r="B18" s="2"/>
      <c r="C18" s="2"/>
      <c r="D18" s="2"/>
      <c r="E18" s="2"/>
      <c r="F18" s="2"/>
      <c r="G18" s="2"/>
      <c r="H18" s="2"/>
      <c r="I18" s="2"/>
      <c r="J18" s="37"/>
      <c r="K18" s="2"/>
      <c r="L18" s="1"/>
      <c r="M18" s="98"/>
      <c r="N18" s="1"/>
      <c r="O18" s="1"/>
      <c r="P18" s="98"/>
      <c r="Q18" s="1"/>
    </row>
    <row r="19" spans="1:17">
      <c r="A19" s="2"/>
      <c r="B19" s="2"/>
      <c r="C19" s="2"/>
      <c r="D19" s="2"/>
      <c r="E19" s="2"/>
      <c r="F19" s="2"/>
      <c r="G19" s="2"/>
      <c r="H19" s="2"/>
      <c r="I19" s="2"/>
      <c r="J19" s="37"/>
      <c r="K19" s="2"/>
      <c r="L19" s="1"/>
      <c r="M19" s="98"/>
      <c r="N19" s="1"/>
      <c r="O19" s="1"/>
      <c r="P19" s="98"/>
      <c r="Q19" s="1"/>
    </row>
    <row r="20" spans="1:17">
      <c r="A20" s="2"/>
      <c r="B20" s="2"/>
      <c r="C20" s="2"/>
      <c r="D20" s="2"/>
      <c r="E20" s="2"/>
      <c r="F20" s="2"/>
      <c r="G20" s="2"/>
      <c r="H20" s="2"/>
      <c r="I20" s="2"/>
      <c r="J20" s="37"/>
      <c r="K20" s="2"/>
      <c r="L20" s="1"/>
      <c r="M20" s="98"/>
      <c r="N20" s="1"/>
      <c r="O20" s="1"/>
      <c r="P20" s="98"/>
      <c r="Q20" s="1"/>
    </row>
    <row r="21" spans="1:17" ht="57">
      <c r="A21" s="73" t="s">
        <v>796</v>
      </c>
      <c r="B21" s="74"/>
      <c r="C21" s="75" t="s">
        <v>94</v>
      </c>
      <c r="D21" s="74"/>
      <c r="E21" s="321" t="s">
        <v>797</v>
      </c>
      <c r="F21" s="321"/>
      <c r="G21" s="2"/>
      <c r="H21" s="6" t="s">
        <v>59</v>
      </c>
      <c r="I21" s="6" t="s">
        <v>798</v>
      </c>
      <c r="J21" s="6" t="s">
        <v>671</v>
      </c>
      <c r="K21" s="2"/>
      <c r="L21" s="1"/>
      <c r="M21" s="98"/>
      <c r="N21" s="1"/>
      <c r="O21" s="1"/>
      <c r="P21" s="98"/>
      <c r="Q21" s="1"/>
    </row>
    <row r="22" spans="1:17">
      <c r="A22" s="1"/>
      <c r="B22" s="10"/>
      <c r="C22" s="10"/>
      <c r="D22" s="10"/>
      <c r="E22" s="10"/>
      <c r="F22" s="10"/>
      <c r="G22" s="2"/>
      <c r="H22" s="147" t="s">
        <v>156</v>
      </c>
      <c r="I22" s="147">
        <v>0.67300000000000004</v>
      </c>
      <c r="J22" s="148">
        <v>3.5000000000000003E-2</v>
      </c>
      <c r="K22" s="2"/>
      <c r="L22" s="1"/>
      <c r="M22" s="98"/>
      <c r="N22" s="1"/>
      <c r="O22" s="1"/>
      <c r="P22" s="98"/>
      <c r="Q22" s="1"/>
    </row>
    <row r="23" spans="1:17">
      <c r="A23" s="1"/>
      <c r="B23" s="10"/>
      <c r="C23" s="76" t="s">
        <v>94</v>
      </c>
      <c r="D23" s="10"/>
      <c r="E23" s="76" t="s">
        <v>94</v>
      </c>
      <c r="F23" s="76" t="s">
        <v>49</v>
      </c>
      <c r="G23" s="2"/>
      <c r="H23" s="147" t="s">
        <v>799</v>
      </c>
      <c r="I23" s="147">
        <v>1.0820000000000001</v>
      </c>
      <c r="J23" s="148">
        <v>3.5000000000000003E-2</v>
      </c>
      <c r="K23" s="2"/>
      <c r="L23" s="1">
        <f>2220.9*I22</f>
        <v>1494.6657000000002</v>
      </c>
      <c r="M23" s="98"/>
      <c r="N23" s="1"/>
      <c r="O23" s="1"/>
      <c r="P23" s="98"/>
      <c r="Q23" s="1"/>
    </row>
    <row r="24" spans="1:17" ht="15">
      <c r="A24" s="1"/>
      <c r="B24" s="10"/>
      <c r="C24" s="39" t="s">
        <v>150</v>
      </c>
      <c r="D24" s="10"/>
      <c r="E24" s="77" t="s">
        <v>150</v>
      </c>
      <c r="F24" s="77" t="s">
        <v>176</v>
      </c>
      <c r="G24" s="2"/>
      <c r="H24" s="147" t="s">
        <v>800</v>
      </c>
      <c r="I24" s="147">
        <v>1.28</v>
      </c>
      <c r="J24" s="148">
        <v>3.5000000000000003E-2</v>
      </c>
      <c r="K24" s="2"/>
      <c r="L24" s="1"/>
      <c r="M24" s="98"/>
      <c r="N24" s="1"/>
      <c r="O24" s="1"/>
      <c r="P24" s="98"/>
      <c r="Q24" s="1"/>
    </row>
    <row r="25" spans="1:17" ht="15">
      <c r="A25" s="1"/>
      <c r="B25" s="10"/>
      <c r="C25" s="39" t="s">
        <v>173</v>
      </c>
      <c r="D25" s="10"/>
      <c r="E25" s="77" t="s">
        <v>150</v>
      </c>
      <c r="F25" s="77" t="s">
        <v>170</v>
      </c>
      <c r="G25" s="2"/>
      <c r="H25" s="147" t="s">
        <v>171</v>
      </c>
      <c r="I25" s="147">
        <v>1</v>
      </c>
      <c r="J25" s="148">
        <v>0.03</v>
      </c>
      <c r="K25" s="2"/>
      <c r="L25" s="1"/>
      <c r="M25" s="98"/>
      <c r="N25" s="1"/>
      <c r="O25" s="1"/>
      <c r="P25" s="98"/>
      <c r="Q25" s="1"/>
    </row>
    <row r="26" spans="1:17" ht="15">
      <c r="A26" s="1"/>
      <c r="B26" s="10"/>
      <c r="C26" s="39" t="s">
        <v>296</v>
      </c>
      <c r="D26" s="10"/>
      <c r="E26" s="77" t="s">
        <v>150</v>
      </c>
      <c r="F26" s="77" t="s">
        <v>184</v>
      </c>
      <c r="G26" s="2"/>
      <c r="H26" s="147"/>
      <c r="I26" s="147"/>
      <c r="J26" s="37"/>
      <c r="K26" s="2"/>
      <c r="L26" s="1"/>
      <c r="M26" s="98"/>
      <c r="N26" s="1"/>
      <c r="O26" s="1"/>
      <c r="P26" s="98"/>
      <c r="Q26" s="1"/>
    </row>
    <row r="27" spans="1:17" ht="15">
      <c r="A27" s="1"/>
      <c r="B27" s="10"/>
      <c r="C27" s="39" t="s">
        <v>341</v>
      </c>
      <c r="D27" s="10"/>
      <c r="E27" s="77" t="s">
        <v>150</v>
      </c>
      <c r="F27" s="77" t="s">
        <v>261</v>
      </c>
      <c r="G27" s="2"/>
      <c r="H27" s="1"/>
      <c r="I27" s="2"/>
      <c r="J27" s="37"/>
      <c r="K27" s="2"/>
      <c r="L27" s="1"/>
      <c r="M27" s="98"/>
      <c r="N27" s="1"/>
      <c r="O27" s="1"/>
      <c r="P27" s="98"/>
      <c r="Q27" s="1"/>
    </row>
    <row r="28" spans="1:17" ht="15">
      <c r="A28" s="1"/>
      <c r="B28" s="10"/>
      <c r="C28" s="39" t="s">
        <v>564</v>
      </c>
      <c r="D28" s="10"/>
      <c r="E28" s="77" t="s">
        <v>150</v>
      </c>
      <c r="F28" s="77" t="s">
        <v>182</v>
      </c>
      <c r="G28" s="2"/>
      <c r="H28" s="2"/>
      <c r="I28" s="2"/>
      <c r="J28" s="37"/>
      <c r="K28" s="2"/>
      <c r="L28" s="1"/>
      <c r="M28" s="98"/>
      <c r="N28" s="1"/>
      <c r="O28" s="1"/>
      <c r="P28" s="98"/>
      <c r="Q28" s="1"/>
    </row>
    <row r="29" spans="1:17" ht="15">
      <c r="A29" s="1"/>
      <c r="B29" s="10"/>
      <c r="C29" s="39" t="s">
        <v>583</v>
      </c>
      <c r="D29" s="10"/>
      <c r="E29" s="77" t="s">
        <v>150</v>
      </c>
      <c r="F29" s="77" t="s">
        <v>263</v>
      </c>
      <c r="G29" s="2"/>
      <c r="H29" s="2"/>
      <c r="I29" s="2"/>
      <c r="J29" s="37"/>
      <c r="K29" s="2"/>
      <c r="L29" s="1"/>
      <c r="M29" s="98"/>
      <c r="N29" s="1"/>
      <c r="O29" s="1"/>
      <c r="P29" s="98"/>
      <c r="Q29" s="1"/>
    </row>
    <row r="30" spans="1:17" ht="15">
      <c r="A30" s="1"/>
      <c r="B30" s="10"/>
      <c r="C30" s="39" t="s">
        <v>195</v>
      </c>
      <c r="D30" s="10"/>
      <c r="E30" s="77" t="s">
        <v>150</v>
      </c>
      <c r="F30" s="77" t="s">
        <v>151</v>
      </c>
      <c r="G30" s="2"/>
      <c r="H30" s="2"/>
      <c r="I30" s="2"/>
      <c r="J30" s="37"/>
      <c r="K30" s="2"/>
      <c r="L30" s="1"/>
      <c r="M30" s="98"/>
      <c r="N30" s="1"/>
      <c r="O30" s="1"/>
      <c r="P30" s="98"/>
      <c r="Q30" s="1"/>
    </row>
    <row r="31" spans="1:17" ht="15">
      <c r="A31" s="1"/>
      <c r="B31" s="10"/>
      <c r="C31" s="39" t="s">
        <v>214</v>
      </c>
      <c r="D31" s="10"/>
      <c r="E31" s="77" t="s">
        <v>150</v>
      </c>
      <c r="F31" s="77" t="s">
        <v>281</v>
      </c>
      <c r="G31" s="2"/>
      <c r="H31" s="2"/>
      <c r="I31" s="2"/>
      <c r="J31" s="37"/>
      <c r="K31" s="2"/>
      <c r="L31" s="1"/>
      <c r="M31" s="98"/>
      <c r="N31" s="1"/>
      <c r="O31" s="1"/>
      <c r="P31" s="98"/>
      <c r="Q31" s="1"/>
    </row>
    <row r="32" spans="1:17" ht="15">
      <c r="A32" s="1"/>
      <c r="B32" s="10"/>
      <c r="C32" s="10"/>
      <c r="D32" s="10"/>
      <c r="E32" s="77" t="s">
        <v>150</v>
      </c>
      <c r="F32" s="77" t="s">
        <v>205</v>
      </c>
      <c r="G32" s="2"/>
      <c r="H32" s="2" t="s">
        <v>801</v>
      </c>
      <c r="I32" s="2" t="s">
        <v>802</v>
      </c>
      <c r="J32" s="37"/>
      <c r="K32" s="2"/>
      <c r="L32" s="1"/>
      <c r="M32" s="98"/>
      <c r="N32" s="1"/>
      <c r="O32" s="1"/>
      <c r="P32" s="98"/>
      <c r="Q32" s="1"/>
    </row>
    <row r="33" spans="1:17" ht="15">
      <c r="A33" s="1"/>
      <c r="B33" s="10"/>
      <c r="C33" s="10"/>
      <c r="D33" s="10"/>
      <c r="E33" s="77" t="s">
        <v>150</v>
      </c>
      <c r="F33" s="77" t="s">
        <v>186</v>
      </c>
      <c r="G33" s="2"/>
      <c r="H33" s="178">
        <v>45292</v>
      </c>
      <c r="I33" s="178">
        <v>45657</v>
      </c>
      <c r="J33" s="37"/>
      <c r="K33" s="2"/>
      <c r="L33" s="1"/>
      <c r="M33" s="98"/>
      <c r="N33" s="1"/>
      <c r="O33" s="1"/>
      <c r="P33" s="98"/>
      <c r="Q33" s="1"/>
    </row>
    <row r="34" spans="1:17" ht="15">
      <c r="A34" s="1"/>
      <c r="B34" s="10"/>
      <c r="C34" s="10"/>
      <c r="D34" s="10"/>
      <c r="E34" s="77" t="s">
        <v>173</v>
      </c>
      <c r="F34" s="77" t="s">
        <v>279</v>
      </c>
      <c r="G34" s="2"/>
      <c r="H34" s="2"/>
      <c r="I34" s="2"/>
      <c r="J34" s="37"/>
      <c r="K34" s="2"/>
      <c r="L34" s="1"/>
      <c r="M34" s="98"/>
      <c r="N34" s="1"/>
      <c r="O34" s="1"/>
      <c r="P34" s="98"/>
      <c r="Q34" s="1"/>
    </row>
    <row r="35" spans="1:17" ht="15">
      <c r="A35" s="1"/>
      <c r="B35" s="10"/>
      <c r="C35" s="10"/>
      <c r="D35" s="10"/>
      <c r="E35" s="77" t="s">
        <v>173</v>
      </c>
      <c r="F35" s="77" t="s">
        <v>188</v>
      </c>
      <c r="G35" s="2"/>
      <c r="H35" s="2"/>
      <c r="I35" s="2"/>
      <c r="J35" s="37"/>
      <c r="K35" s="2"/>
      <c r="L35" s="1"/>
      <c r="M35" s="98"/>
      <c r="N35" s="1"/>
      <c r="O35" s="1"/>
      <c r="P35" s="98"/>
      <c r="Q35" s="1"/>
    </row>
    <row r="36" spans="1:17" ht="15">
      <c r="A36" s="1"/>
      <c r="B36" s="10"/>
      <c r="C36" s="10"/>
      <c r="D36" s="10"/>
      <c r="E36" s="77" t="s">
        <v>173</v>
      </c>
      <c r="F36" s="77" t="s">
        <v>190</v>
      </c>
      <c r="G36" s="2"/>
      <c r="H36" s="2"/>
      <c r="I36" s="2"/>
      <c r="J36" s="37"/>
      <c r="K36" s="2"/>
      <c r="L36" s="1"/>
      <c r="M36" s="98"/>
      <c r="N36" s="1"/>
      <c r="O36" s="1"/>
      <c r="P36" s="98"/>
      <c r="Q36" s="1"/>
    </row>
    <row r="37" spans="1:17" ht="15">
      <c r="A37" s="1"/>
      <c r="B37" s="10"/>
      <c r="C37" s="10"/>
      <c r="D37" s="10"/>
      <c r="E37" s="77" t="s">
        <v>173</v>
      </c>
      <c r="F37" s="77" t="s">
        <v>192</v>
      </c>
      <c r="G37" s="2"/>
      <c r="H37" s="2"/>
      <c r="I37" s="2"/>
      <c r="J37" s="37"/>
      <c r="K37" s="2"/>
      <c r="L37" s="1"/>
      <c r="M37" s="98"/>
      <c r="N37" s="1"/>
      <c r="O37" s="1"/>
      <c r="P37" s="98"/>
      <c r="Q37" s="1"/>
    </row>
    <row r="38" spans="1:17" ht="15">
      <c r="A38" s="1"/>
      <c r="B38" s="10"/>
      <c r="C38" s="10"/>
      <c r="D38" s="10"/>
      <c r="E38" s="77" t="s">
        <v>173</v>
      </c>
      <c r="F38" s="77" t="s">
        <v>174</v>
      </c>
      <c r="G38" s="2"/>
      <c r="H38" s="2"/>
      <c r="I38" s="2"/>
      <c r="J38" s="37"/>
      <c r="K38" s="2"/>
      <c r="L38" s="1"/>
      <c r="M38" s="98"/>
      <c r="N38" s="1"/>
      <c r="O38" s="1"/>
      <c r="P38" s="98"/>
      <c r="Q38" s="1"/>
    </row>
    <row r="39" spans="1:17" ht="15">
      <c r="A39" s="1"/>
      <c r="B39" s="10"/>
      <c r="C39" s="10"/>
      <c r="D39" s="10"/>
      <c r="E39" s="77" t="s">
        <v>296</v>
      </c>
      <c r="F39" s="77" t="s">
        <v>501</v>
      </c>
      <c r="G39" s="2"/>
      <c r="H39" s="2"/>
      <c r="I39" s="2"/>
      <c r="J39" s="37"/>
      <c r="K39" s="2"/>
      <c r="L39" s="1"/>
      <c r="M39" s="98"/>
      <c r="N39" s="1"/>
      <c r="O39" s="1"/>
      <c r="P39" s="98"/>
      <c r="Q39" s="1"/>
    </row>
    <row r="40" spans="1:17" ht="15">
      <c r="A40" s="1"/>
      <c r="B40" s="10"/>
      <c r="C40" s="10"/>
      <c r="D40" s="10"/>
      <c r="E40" s="77" t="s">
        <v>296</v>
      </c>
      <c r="F40" s="77" t="s">
        <v>304</v>
      </c>
      <c r="G40" s="2"/>
      <c r="H40" s="2"/>
      <c r="I40" s="2"/>
      <c r="J40" s="37"/>
      <c r="K40" s="2"/>
      <c r="L40" s="1"/>
      <c r="M40" s="98"/>
      <c r="N40" s="1"/>
      <c r="O40" s="1"/>
      <c r="P40" s="98"/>
      <c r="Q40" s="1"/>
    </row>
    <row r="41" spans="1:17" ht="15">
      <c r="A41" s="1"/>
      <c r="B41" s="10"/>
      <c r="C41" s="10"/>
      <c r="D41" s="10"/>
      <c r="E41" s="77" t="s">
        <v>296</v>
      </c>
      <c r="F41" s="77" t="s">
        <v>351</v>
      </c>
      <c r="G41" s="2"/>
      <c r="H41" s="2"/>
      <c r="I41" s="2"/>
      <c r="J41" s="37"/>
      <c r="K41" s="2"/>
      <c r="L41" s="1"/>
      <c r="M41" s="98"/>
      <c r="N41" s="1"/>
      <c r="O41" s="1"/>
      <c r="P41" s="98"/>
      <c r="Q41" s="1"/>
    </row>
    <row r="42" spans="1:17" ht="15">
      <c r="A42" s="1"/>
      <c r="B42" s="10"/>
      <c r="C42" s="10"/>
      <c r="D42" s="10"/>
      <c r="E42" s="77" t="s">
        <v>296</v>
      </c>
      <c r="F42" s="77" t="s">
        <v>523</v>
      </c>
      <c r="G42" s="2"/>
      <c r="H42" s="2"/>
      <c r="I42" s="2"/>
      <c r="J42" s="37"/>
      <c r="K42" s="2"/>
      <c r="L42" s="1"/>
      <c r="M42" s="98"/>
      <c r="N42" s="1"/>
      <c r="O42" s="1"/>
      <c r="P42" s="98"/>
      <c r="Q42" s="1"/>
    </row>
    <row r="43" spans="1:17" ht="15">
      <c r="A43" s="1"/>
      <c r="B43" s="10"/>
      <c r="C43" s="10"/>
      <c r="D43" s="10"/>
      <c r="E43" s="77" t="s">
        <v>296</v>
      </c>
      <c r="F43" s="77" t="s">
        <v>316</v>
      </c>
      <c r="G43" s="2"/>
      <c r="H43" s="2"/>
      <c r="I43" s="2"/>
      <c r="J43" s="37"/>
      <c r="K43" s="2"/>
      <c r="L43" s="1"/>
      <c r="M43" s="98"/>
      <c r="N43" s="1"/>
      <c r="O43" s="1"/>
      <c r="P43" s="98"/>
      <c r="Q43" s="1"/>
    </row>
    <row r="44" spans="1:17" ht="15">
      <c r="A44" s="1"/>
      <c r="B44" s="10"/>
      <c r="C44" s="10"/>
      <c r="D44" s="10"/>
      <c r="E44" s="77" t="s">
        <v>296</v>
      </c>
      <c r="F44" s="77" t="s">
        <v>330</v>
      </c>
      <c r="G44" s="2"/>
      <c r="H44" s="2"/>
      <c r="I44" s="2"/>
      <c r="J44" s="37"/>
      <c r="K44" s="2"/>
      <c r="L44" s="1"/>
      <c r="M44" s="98"/>
      <c r="N44" s="1"/>
      <c r="O44" s="1"/>
      <c r="P44" s="98"/>
      <c r="Q44" s="1"/>
    </row>
    <row r="45" spans="1:17" ht="15">
      <c r="A45" s="1"/>
      <c r="B45" s="10"/>
      <c r="C45" s="10"/>
      <c r="D45" s="10"/>
      <c r="E45" s="77" t="s">
        <v>296</v>
      </c>
      <c r="F45" s="77" t="s">
        <v>338</v>
      </c>
      <c r="G45" s="2"/>
      <c r="H45" s="2"/>
      <c r="I45" s="2"/>
      <c r="J45" s="37"/>
      <c r="K45" s="2"/>
      <c r="L45" s="1"/>
      <c r="M45" s="98"/>
      <c r="N45" s="1"/>
      <c r="O45" s="1"/>
      <c r="P45" s="98"/>
      <c r="Q45" s="1"/>
    </row>
    <row r="46" spans="1:17" ht="15">
      <c r="A46" s="1"/>
      <c r="B46" s="10"/>
      <c r="C46" s="10"/>
      <c r="D46" s="10"/>
      <c r="E46" s="77" t="s">
        <v>296</v>
      </c>
      <c r="F46" s="77" t="s">
        <v>297</v>
      </c>
      <c r="G46" s="2"/>
      <c r="H46" s="2"/>
      <c r="I46" s="2"/>
      <c r="J46" s="37"/>
      <c r="K46" s="2"/>
      <c r="L46" s="1"/>
      <c r="M46" s="98"/>
      <c r="N46" s="1"/>
      <c r="O46" s="1"/>
      <c r="P46" s="98"/>
      <c r="Q46" s="1"/>
    </row>
    <row r="47" spans="1:17" ht="15">
      <c r="A47" s="1"/>
      <c r="B47" s="10"/>
      <c r="C47" s="10"/>
      <c r="D47" s="10"/>
      <c r="E47" s="77" t="s">
        <v>341</v>
      </c>
      <c r="F47" s="77" t="s">
        <v>342</v>
      </c>
      <c r="G47" s="2"/>
      <c r="H47" s="2"/>
      <c r="I47" s="2"/>
      <c r="J47" s="37"/>
      <c r="K47" s="2"/>
      <c r="L47" s="1"/>
      <c r="M47" s="98"/>
      <c r="N47" s="1"/>
      <c r="O47" s="1"/>
      <c r="P47" s="98"/>
      <c r="Q47" s="1"/>
    </row>
    <row r="48" spans="1:17" ht="15">
      <c r="A48" s="1"/>
      <c r="B48" s="10"/>
      <c r="C48" s="10"/>
      <c r="D48" s="10"/>
      <c r="E48" s="77" t="s">
        <v>341</v>
      </c>
      <c r="F48" s="77" t="s">
        <v>504</v>
      </c>
      <c r="G48" s="2"/>
      <c r="H48" s="2"/>
      <c r="I48" s="2"/>
      <c r="J48" s="37"/>
      <c r="K48" s="2"/>
      <c r="L48" s="1"/>
      <c r="M48" s="98"/>
      <c r="N48" s="1"/>
      <c r="O48" s="1"/>
      <c r="P48" s="98"/>
      <c r="Q48" s="1"/>
    </row>
    <row r="49" spans="1:17" ht="15">
      <c r="A49" s="1"/>
      <c r="B49" s="10"/>
      <c r="C49" s="10"/>
      <c r="D49" s="10"/>
      <c r="E49" s="77" t="s">
        <v>341</v>
      </c>
      <c r="F49" s="77" t="s">
        <v>344</v>
      </c>
      <c r="G49" s="2"/>
      <c r="H49" s="2"/>
      <c r="I49" s="2"/>
      <c r="J49" s="37"/>
      <c r="K49" s="2"/>
      <c r="L49" s="1"/>
      <c r="M49" s="98"/>
      <c r="N49" s="1"/>
      <c r="O49" s="1"/>
      <c r="P49" s="98"/>
      <c r="Q49" s="1"/>
    </row>
    <row r="50" spans="1:17" ht="15">
      <c r="A50" s="1"/>
      <c r="B50" s="10"/>
      <c r="C50" s="10"/>
      <c r="D50" s="10"/>
      <c r="E50" s="77" t="s">
        <v>564</v>
      </c>
      <c r="F50" s="77" t="s">
        <v>310</v>
      </c>
      <c r="G50" s="2"/>
      <c r="H50" s="2"/>
      <c r="I50" s="2"/>
      <c r="J50" s="37"/>
      <c r="K50" s="2"/>
      <c r="L50" s="1"/>
      <c r="M50" s="98"/>
      <c r="N50" s="1"/>
      <c r="O50" s="1"/>
      <c r="P50" s="98"/>
      <c r="Q50" s="1"/>
    </row>
    <row r="51" spans="1:17" ht="15">
      <c r="A51" s="1"/>
      <c r="B51" s="10"/>
      <c r="C51" s="10"/>
      <c r="D51" s="10"/>
      <c r="E51" s="77" t="s">
        <v>564</v>
      </c>
      <c r="F51" s="77" t="s">
        <v>251</v>
      </c>
      <c r="G51" s="1"/>
      <c r="H51" s="1"/>
      <c r="I51" s="1"/>
      <c r="J51" s="1"/>
      <c r="K51" s="1"/>
      <c r="L51" s="1"/>
      <c r="M51" s="98"/>
      <c r="N51" s="1"/>
      <c r="O51" s="1"/>
      <c r="P51" s="98"/>
      <c r="Q51" s="1"/>
    </row>
    <row r="52" spans="1:17" ht="15">
      <c r="A52" s="1"/>
      <c r="B52" s="10"/>
      <c r="C52" s="10"/>
      <c r="D52" s="10"/>
      <c r="E52" s="77" t="s">
        <v>564</v>
      </c>
      <c r="F52" s="77" t="s">
        <v>312</v>
      </c>
      <c r="G52" s="1"/>
      <c r="H52" s="1"/>
      <c r="I52" s="1"/>
      <c r="J52" s="1"/>
      <c r="K52" s="1"/>
      <c r="L52" s="1"/>
      <c r="M52" s="98"/>
      <c r="N52" s="1"/>
      <c r="O52" s="1"/>
      <c r="P52" s="98"/>
      <c r="Q52" s="1"/>
    </row>
    <row r="53" spans="1:17" ht="15">
      <c r="A53" s="1"/>
      <c r="B53" s="10"/>
      <c r="C53" s="10"/>
      <c r="D53" s="10"/>
      <c r="E53" s="77" t="s">
        <v>564</v>
      </c>
      <c r="F53" s="77" t="s">
        <v>286</v>
      </c>
      <c r="G53" s="1"/>
      <c r="H53" s="1"/>
      <c r="I53" s="1"/>
      <c r="J53" s="1"/>
      <c r="K53" s="1"/>
      <c r="L53" s="1"/>
      <c r="M53" s="98"/>
      <c r="N53" s="1"/>
      <c r="O53" s="1"/>
      <c r="P53" s="98"/>
      <c r="Q53" s="1"/>
    </row>
    <row r="54" spans="1:17" ht="15">
      <c r="A54" s="1"/>
      <c r="B54" s="10"/>
      <c r="C54" s="10"/>
      <c r="D54" s="10"/>
      <c r="E54" s="77" t="s">
        <v>564</v>
      </c>
      <c r="F54" s="77" t="s">
        <v>322</v>
      </c>
      <c r="G54" s="1"/>
      <c r="H54" s="1"/>
      <c r="I54" s="1"/>
      <c r="J54" s="1"/>
      <c r="K54" s="1"/>
      <c r="L54" s="1"/>
      <c r="M54" s="98"/>
      <c r="N54" s="1"/>
      <c r="O54" s="1"/>
      <c r="P54" s="98"/>
      <c r="Q54" s="1"/>
    </row>
    <row r="55" spans="1:17" ht="15">
      <c r="A55" s="1"/>
      <c r="B55" s="10"/>
      <c r="C55" s="10"/>
      <c r="D55" s="10"/>
      <c r="E55" s="77" t="s">
        <v>564</v>
      </c>
      <c r="F55" s="77" t="s">
        <v>326</v>
      </c>
      <c r="G55" s="1"/>
      <c r="H55" s="1"/>
      <c r="I55" s="1"/>
      <c r="J55" s="1"/>
      <c r="K55" s="1"/>
      <c r="L55" s="1"/>
      <c r="M55" s="98"/>
      <c r="N55" s="1"/>
      <c r="O55" s="1"/>
      <c r="P55" s="98"/>
      <c r="Q55" s="1"/>
    </row>
    <row r="56" spans="1:17" ht="15">
      <c r="A56" s="1"/>
      <c r="B56" s="10"/>
      <c r="C56" s="10"/>
      <c r="D56" s="10"/>
      <c r="E56" s="77" t="s">
        <v>564</v>
      </c>
      <c r="F56" s="77" t="s">
        <v>289</v>
      </c>
      <c r="G56" s="1"/>
      <c r="H56" s="1"/>
      <c r="I56" s="1"/>
      <c r="J56" s="1"/>
      <c r="K56" s="1"/>
      <c r="L56" s="1"/>
      <c r="M56" s="98"/>
      <c r="N56" s="1"/>
      <c r="O56" s="1"/>
      <c r="P56" s="98"/>
      <c r="Q56" s="1"/>
    </row>
    <row r="57" spans="1:17" ht="15">
      <c r="A57" s="1"/>
      <c r="B57" s="10"/>
      <c r="C57" s="10"/>
      <c r="D57" s="10"/>
      <c r="E57" s="77" t="s">
        <v>564</v>
      </c>
      <c r="F57" s="77" t="s">
        <v>336</v>
      </c>
      <c r="G57" s="1"/>
      <c r="H57" s="1"/>
      <c r="I57" s="1"/>
      <c r="J57" s="1"/>
      <c r="K57" s="1"/>
      <c r="L57" s="1"/>
      <c r="M57" s="98"/>
      <c r="N57" s="1"/>
      <c r="O57" s="1"/>
      <c r="P57" s="98"/>
      <c r="Q57" s="1"/>
    </row>
    <row r="58" spans="1:17" ht="15">
      <c r="A58" s="1"/>
      <c r="B58" s="10"/>
      <c r="C58" s="10"/>
      <c r="D58" s="10"/>
      <c r="E58" s="77" t="s">
        <v>564</v>
      </c>
      <c r="F58" s="77" t="s">
        <v>354</v>
      </c>
      <c r="G58" s="1"/>
      <c r="H58" s="1"/>
      <c r="I58" s="1"/>
      <c r="J58" s="1"/>
      <c r="K58" s="1"/>
      <c r="L58" s="1"/>
      <c r="M58" s="98"/>
      <c r="N58" s="1"/>
      <c r="O58" s="1"/>
      <c r="P58" s="98"/>
      <c r="Q58" s="1"/>
    </row>
    <row r="59" spans="1:17" ht="15">
      <c r="A59" s="1"/>
      <c r="B59" s="10"/>
      <c r="C59" s="10"/>
      <c r="D59" s="10"/>
      <c r="E59" s="77" t="s">
        <v>564</v>
      </c>
      <c r="F59" s="77" t="s">
        <v>314</v>
      </c>
      <c r="G59" s="1"/>
      <c r="H59" s="1"/>
      <c r="I59" s="1"/>
      <c r="J59" s="1"/>
      <c r="K59" s="1"/>
      <c r="L59" s="1"/>
      <c r="M59" s="98"/>
      <c r="N59" s="1"/>
      <c r="O59" s="1"/>
      <c r="P59" s="98"/>
      <c r="Q59" s="1"/>
    </row>
    <row r="60" spans="1:17" ht="15">
      <c r="A60" s="1"/>
      <c r="B60" s="10"/>
      <c r="C60" s="10"/>
      <c r="D60" s="10"/>
      <c r="E60" s="77" t="s">
        <v>564</v>
      </c>
      <c r="F60" s="77" t="s">
        <v>291</v>
      </c>
      <c r="G60" s="1"/>
      <c r="H60" s="1"/>
      <c r="I60" s="1"/>
      <c r="J60" s="1"/>
      <c r="K60" s="1"/>
      <c r="L60" s="1"/>
      <c r="M60" s="98"/>
      <c r="N60" s="1"/>
      <c r="O60" s="1"/>
      <c r="P60" s="98"/>
      <c r="Q60" s="1"/>
    </row>
    <row r="61" spans="1:17" ht="15">
      <c r="A61" s="1"/>
      <c r="B61" s="10"/>
      <c r="C61" s="10"/>
      <c r="D61" s="10"/>
      <c r="E61" s="77" t="s">
        <v>564</v>
      </c>
      <c r="F61" s="77" t="s">
        <v>318</v>
      </c>
      <c r="G61" s="1"/>
      <c r="H61" s="1"/>
      <c r="I61" s="1"/>
      <c r="J61" s="1"/>
      <c r="K61" s="1"/>
      <c r="L61" s="1"/>
      <c r="M61" s="98"/>
      <c r="N61" s="1"/>
      <c r="O61" s="1"/>
      <c r="P61" s="98"/>
      <c r="Q61" s="1"/>
    </row>
    <row r="62" spans="1:17" ht="15">
      <c r="A62" s="1"/>
      <c r="B62" s="10"/>
      <c r="C62" s="10"/>
      <c r="D62" s="10"/>
      <c r="E62" s="77" t="s">
        <v>564</v>
      </c>
      <c r="F62" s="77" t="s">
        <v>361</v>
      </c>
      <c r="G62" s="1"/>
      <c r="H62" s="1"/>
      <c r="I62" s="1"/>
      <c r="J62" s="1"/>
      <c r="K62" s="1"/>
      <c r="L62" s="1"/>
      <c r="M62" s="98"/>
      <c r="N62" s="1"/>
      <c r="O62" s="1"/>
      <c r="P62" s="98"/>
      <c r="Q62" s="1"/>
    </row>
    <row r="63" spans="1:17" ht="15">
      <c r="A63" s="1"/>
      <c r="B63" s="10"/>
      <c r="C63" s="10"/>
      <c r="D63" s="10"/>
      <c r="E63" s="77" t="s">
        <v>564</v>
      </c>
      <c r="F63" s="77" t="s">
        <v>324</v>
      </c>
      <c r="G63" s="1"/>
      <c r="H63" s="1"/>
      <c r="I63" s="1"/>
      <c r="J63" s="1"/>
      <c r="K63" s="1"/>
      <c r="L63" s="1"/>
      <c r="M63" s="98"/>
      <c r="N63" s="1"/>
      <c r="O63" s="1"/>
      <c r="P63" s="98"/>
      <c r="Q63" s="1"/>
    </row>
    <row r="64" spans="1:17" ht="15">
      <c r="A64" s="1"/>
      <c r="B64" s="10"/>
      <c r="C64" s="10"/>
      <c r="D64" s="10"/>
      <c r="E64" s="77" t="s">
        <v>564</v>
      </c>
      <c r="F64" s="77" t="s">
        <v>365</v>
      </c>
      <c r="G64" s="1"/>
      <c r="H64" s="1"/>
      <c r="I64" s="1"/>
      <c r="J64" s="1"/>
      <c r="K64" s="1"/>
      <c r="L64" s="1"/>
      <c r="M64" s="98"/>
      <c r="N64" s="1"/>
      <c r="O64" s="1"/>
      <c r="P64" s="98"/>
      <c r="Q64" s="1"/>
    </row>
    <row r="65" spans="1:17" ht="15">
      <c r="A65" s="1"/>
      <c r="B65" s="10"/>
      <c r="C65" s="10"/>
      <c r="D65" s="10"/>
      <c r="E65" s="77" t="s">
        <v>564</v>
      </c>
      <c r="F65" s="77" t="s">
        <v>357</v>
      </c>
      <c r="G65" s="1"/>
      <c r="H65" s="1"/>
      <c r="I65" s="1"/>
      <c r="J65" s="1"/>
      <c r="K65" s="1"/>
      <c r="L65" s="1"/>
      <c r="M65" s="98"/>
      <c r="N65" s="1"/>
      <c r="O65" s="1"/>
      <c r="P65" s="98"/>
      <c r="Q65" s="1"/>
    </row>
    <row r="66" spans="1:17" ht="15">
      <c r="A66" s="1"/>
      <c r="B66" s="10"/>
      <c r="C66" s="10"/>
      <c r="D66" s="10"/>
      <c r="E66" s="77" t="s">
        <v>564</v>
      </c>
      <c r="F66" s="77" t="s">
        <v>332</v>
      </c>
      <c r="G66" s="1"/>
      <c r="H66" s="1"/>
      <c r="I66" s="1"/>
      <c r="J66" s="1"/>
      <c r="K66" s="1"/>
      <c r="L66" s="1"/>
      <c r="M66" s="98"/>
      <c r="N66" s="1"/>
      <c r="O66" s="1"/>
      <c r="P66" s="98"/>
      <c r="Q66" s="1"/>
    </row>
    <row r="67" spans="1:17" ht="15">
      <c r="A67" s="1"/>
      <c r="B67" s="10"/>
      <c r="C67" s="10"/>
      <c r="D67" s="10"/>
      <c r="E67" s="77" t="s">
        <v>564</v>
      </c>
      <c r="F67" s="77" t="s">
        <v>483</v>
      </c>
      <c r="G67" s="1"/>
      <c r="H67" s="1"/>
      <c r="I67" s="1"/>
      <c r="J67" s="1"/>
      <c r="K67" s="1"/>
      <c r="L67" s="1"/>
      <c r="M67" s="98"/>
      <c r="N67" s="1"/>
      <c r="O67" s="1"/>
      <c r="P67" s="98"/>
      <c r="Q67" s="1"/>
    </row>
    <row r="68" spans="1:17" ht="15">
      <c r="A68" s="1"/>
      <c r="B68" s="10"/>
      <c r="C68" s="10"/>
      <c r="D68" s="10"/>
      <c r="E68" s="77" t="s">
        <v>583</v>
      </c>
      <c r="F68" s="77" t="s">
        <v>374</v>
      </c>
      <c r="G68" s="1"/>
      <c r="H68" s="1"/>
      <c r="I68" s="1"/>
      <c r="J68" s="1"/>
      <c r="K68" s="1"/>
      <c r="L68" s="1"/>
      <c r="M68" s="98"/>
      <c r="N68" s="1"/>
      <c r="O68" s="1"/>
      <c r="P68" s="98"/>
      <c r="Q68" s="1"/>
    </row>
    <row r="69" spans="1:17" ht="15">
      <c r="A69" s="1"/>
      <c r="B69" s="10"/>
      <c r="C69" s="10"/>
      <c r="D69" s="10"/>
      <c r="E69" s="77" t="s">
        <v>583</v>
      </c>
      <c r="F69" s="77" t="s">
        <v>380</v>
      </c>
      <c r="G69" s="1"/>
      <c r="H69" s="1"/>
      <c r="I69" s="1"/>
      <c r="J69" s="1"/>
      <c r="K69" s="1"/>
      <c r="L69" s="1"/>
      <c r="M69" s="98"/>
      <c r="N69" s="1"/>
      <c r="O69" s="1"/>
      <c r="P69" s="98"/>
      <c r="Q69" s="1"/>
    </row>
    <row r="70" spans="1:17" ht="15">
      <c r="A70" s="1"/>
      <c r="B70" s="10"/>
      <c r="C70" s="10"/>
      <c r="D70" s="10"/>
      <c r="E70" s="77" t="s">
        <v>583</v>
      </c>
      <c r="F70" s="77" t="s">
        <v>368</v>
      </c>
      <c r="G70" s="1"/>
      <c r="H70" s="1"/>
      <c r="I70" s="1"/>
      <c r="J70" s="1"/>
      <c r="K70" s="1"/>
      <c r="L70" s="1"/>
      <c r="M70" s="98"/>
      <c r="N70" s="1"/>
      <c r="O70" s="1"/>
      <c r="P70" s="98"/>
      <c r="Q70" s="1"/>
    </row>
    <row r="71" spans="1:17" ht="15">
      <c r="A71" s="1"/>
      <c r="B71" s="10"/>
      <c r="C71" s="10"/>
      <c r="D71" s="10"/>
      <c r="E71" s="77" t="s">
        <v>583</v>
      </c>
      <c r="F71" s="77" t="s">
        <v>376</v>
      </c>
      <c r="G71" s="1"/>
      <c r="H71" s="1"/>
      <c r="I71" s="1"/>
      <c r="J71" s="1"/>
      <c r="K71" s="1"/>
      <c r="L71" s="1"/>
      <c r="M71" s="98"/>
      <c r="N71" s="1"/>
      <c r="O71" s="1"/>
      <c r="P71" s="98"/>
      <c r="Q71" s="1"/>
    </row>
    <row r="72" spans="1:17" ht="15">
      <c r="A72" s="1"/>
      <c r="B72" s="10"/>
      <c r="C72" s="10"/>
      <c r="D72" s="10"/>
      <c r="E72" s="77" t="s">
        <v>583</v>
      </c>
      <c r="F72" s="77" t="s">
        <v>382</v>
      </c>
      <c r="G72" s="1"/>
      <c r="H72" s="1"/>
      <c r="I72" s="1"/>
      <c r="J72" s="1"/>
      <c r="K72" s="1"/>
      <c r="L72" s="1"/>
      <c r="M72" s="98"/>
      <c r="N72" s="1"/>
      <c r="O72" s="1"/>
      <c r="P72" s="98"/>
      <c r="Q72" s="1"/>
    </row>
    <row r="73" spans="1:17" ht="15">
      <c r="A73" s="1"/>
      <c r="B73" s="10"/>
      <c r="C73" s="10"/>
      <c r="D73" s="10"/>
      <c r="E73" s="77" t="s">
        <v>583</v>
      </c>
      <c r="F73" s="77" t="s">
        <v>386</v>
      </c>
      <c r="G73" s="1"/>
      <c r="H73" s="1"/>
      <c r="I73" s="1"/>
      <c r="J73" s="1"/>
      <c r="K73" s="1"/>
      <c r="L73" s="1"/>
      <c r="M73" s="98"/>
      <c r="N73" s="1"/>
      <c r="O73" s="1"/>
      <c r="P73" s="98"/>
      <c r="Q73" s="1"/>
    </row>
    <row r="74" spans="1:17" ht="15">
      <c r="A74" s="1"/>
      <c r="B74" s="10"/>
      <c r="C74" s="10"/>
      <c r="D74" s="10"/>
      <c r="E74" s="77" t="s">
        <v>583</v>
      </c>
      <c r="F74" s="77" t="s">
        <v>370</v>
      </c>
      <c r="G74" s="1"/>
      <c r="H74" s="1"/>
      <c r="I74" s="1"/>
      <c r="J74" s="1"/>
      <c r="K74" s="1"/>
      <c r="L74" s="1"/>
      <c r="M74" s="98"/>
      <c r="N74" s="1"/>
      <c r="O74" s="1"/>
      <c r="P74" s="98"/>
      <c r="Q74" s="1"/>
    </row>
    <row r="75" spans="1:17" ht="15">
      <c r="A75" s="1"/>
      <c r="B75" s="10"/>
      <c r="C75" s="10"/>
      <c r="D75" s="10"/>
      <c r="E75" s="77" t="s">
        <v>583</v>
      </c>
      <c r="F75" s="77" t="s">
        <v>378</v>
      </c>
      <c r="G75" s="1"/>
      <c r="H75" s="1"/>
      <c r="I75" s="1"/>
      <c r="J75" s="1"/>
      <c r="K75" s="1"/>
      <c r="L75" s="1"/>
      <c r="M75" s="98"/>
      <c r="N75" s="1"/>
      <c r="O75" s="1"/>
      <c r="P75" s="98"/>
      <c r="Q75" s="1"/>
    </row>
    <row r="76" spans="1:17" ht="15">
      <c r="A76" s="1"/>
      <c r="B76" s="10"/>
      <c r="C76" s="10"/>
      <c r="D76" s="10"/>
      <c r="E76" s="77" t="s">
        <v>583</v>
      </c>
      <c r="F76" s="77" t="s">
        <v>384</v>
      </c>
      <c r="G76" s="1"/>
      <c r="H76" s="1"/>
      <c r="I76" s="1"/>
      <c r="J76" s="1"/>
      <c r="K76" s="1"/>
      <c r="L76" s="1"/>
      <c r="M76" s="98"/>
      <c r="N76" s="1"/>
      <c r="O76" s="1"/>
      <c r="P76" s="98"/>
      <c r="Q76" s="1"/>
    </row>
    <row r="77" spans="1:17" ht="15">
      <c r="A77" s="1"/>
      <c r="B77" s="10"/>
      <c r="C77" s="10"/>
      <c r="D77" s="10"/>
      <c r="E77" s="77" t="s">
        <v>583</v>
      </c>
      <c r="F77" s="77" t="s">
        <v>390</v>
      </c>
      <c r="G77" s="1"/>
      <c r="H77" s="1"/>
      <c r="I77" s="1"/>
      <c r="J77" s="1"/>
      <c r="K77" s="1"/>
      <c r="L77" s="1"/>
      <c r="M77" s="98"/>
      <c r="N77" s="1"/>
      <c r="O77" s="1"/>
      <c r="P77" s="98"/>
      <c r="Q77" s="1"/>
    </row>
    <row r="78" spans="1:17" ht="15">
      <c r="A78" s="1"/>
      <c r="B78" s="10"/>
      <c r="C78" s="10"/>
      <c r="D78" s="10"/>
      <c r="E78" s="77" t="s">
        <v>583</v>
      </c>
      <c r="F78" s="77" t="s">
        <v>372</v>
      </c>
      <c r="G78" s="1"/>
      <c r="H78" s="1"/>
      <c r="I78" s="1"/>
      <c r="J78" s="1"/>
      <c r="K78" s="1"/>
      <c r="L78" s="1"/>
      <c r="M78" s="98"/>
      <c r="N78" s="1"/>
      <c r="O78" s="1"/>
      <c r="P78" s="98"/>
      <c r="Q78" s="1"/>
    </row>
    <row r="79" spans="1:17" ht="15">
      <c r="A79" s="1"/>
      <c r="B79" s="10"/>
      <c r="C79" s="10"/>
      <c r="D79" s="10"/>
      <c r="E79" s="77" t="s">
        <v>583</v>
      </c>
      <c r="F79" s="77" t="s">
        <v>392</v>
      </c>
      <c r="G79" s="1"/>
      <c r="H79" s="1"/>
      <c r="I79" s="1"/>
      <c r="J79" s="1"/>
      <c r="K79" s="1"/>
      <c r="L79" s="1"/>
      <c r="M79" s="98"/>
      <c r="N79" s="1"/>
      <c r="O79" s="1"/>
      <c r="P79" s="98"/>
      <c r="Q79" s="1"/>
    </row>
    <row r="80" spans="1:17" ht="15">
      <c r="A80" s="1"/>
      <c r="B80" s="10"/>
      <c r="C80" s="10"/>
      <c r="D80" s="10"/>
      <c r="E80" s="77" t="s">
        <v>583</v>
      </c>
      <c r="F80" s="77" t="s">
        <v>396</v>
      </c>
      <c r="G80" s="1"/>
      <c r="H80" s="1"/>
      <c r="I80" s="1"/>
      <c r="J80" s="1"/>
      <c r="K80" s="1"/>
      <c r="L80" s="1"/>
      <c r="M80" s="98"/>
      <c r="N80" s="1"/>
      <c r="O80" s="1"/>
      <c r="P80" s="98"/>
      <c r="Q80" s="1"/>
    </row>
    <row r="81" spans="1:17" ht="15">
      <c r="A81" s="1"/>
      <c r="B81" s="10"/>
      <c r="C81" s="10"/>
      <c r="D81" s="10"/>
      <c r="E81" s="77" t="s">
        <v>583</v>
      </c>
      <c r="F81" s="77" t="s">
        <v>398</v>
      </c>
      <c r="G81" s="1"/>
      <c r="H81" s="1"/>
      <c r="I81" s="1"/>
      <c r="J81" s="1"/>
      <c r="K81" s="1"/>
      <c r="L81" s="1"/>
      <c r="M81" s="98"/>
      <c r="N81" s="1"/>
      <c r="O81" s="1"/>
      <c r="P81" s="98"/>
      <c r="Q81" s="1"/>
    </row>
    <row r="82" spans="1:17" ht="15">
      <c r="A82" s="1"/>
      <c r="B82" s="10"/>
      <c r="C82" s="10"/>
      <c r="D82" s="10"/>
      <c r="E82" s="77" t="s">
        <v>583</v>
      </c>
      <c r="F82" s="77" t="s">
        <v>400</v>
      </c>
      <c r="G82" s="1"/>
      <c r="H82" s="1"/>
      <c r="I82" s="1"/>
      <c r="J82" s="1"/>
      <c r="K82" s="1"/>
      <c r="L82" s="1"/>
      <c r="M82" s="98"/>
      <c r="N82" s="1"/>
      <c r="O82" s="1"/>
      <c r="P82" s="98"/>
      <c r="Q82" s="1"/>
    </row>
    <row r="83" spans="1:17" ht="15">
      <c r="A83" s="1"/>
      <c r="B83" s="10"/>
      <c r="C83" s="10"/>
      <c r="D83" s="10"/>
      <c r="E83" s="77" t="s">
        <v>583</v>
      </c>
      <c r="F83" s="77" t="s">
        <v>402</v>
      </c>
      <c r="G83" s="1"/>
      <c r="H83" s="1"/>
      <c r="I83" s="1"/>
      <c r="J83" s="1"/>
      <c r="K83" s="1"/>
      <c r="L83" s="1"/>
      <c r="M83" s="98"/>
      <c r="N83" s="1"/>
      <c r="O83" s="1"/>
      <c r="P83" s="98"/>
      <c r="Q83" s="1"/>
    </row>
    <row r="84" spans="1:17" ht="15">
      <c r="A84" s="1"/>
      <c r="B84" s="10"/>
      <c r="C84" s="10"/>
      <c r="D84" s="10"/>
      <c r="E84" s="77" t="s">
        <v>583</v>
      </c>
      <c r="F84" s="77" t="s">
        <v>404</v>
      </c>
      <c r="G84" s="1"/>
      <c r="H84" s="1"/>
      <c r="I84" s="1"/>
      <c r="J84" s="1"/>
      <c r="K84" s="1"/>
      <c r="L84" s="1"/>
      <c r="M84" s="98"/>
      <c r="N84" s="1"/>
      <c r="O84" s="1"/>
      <c r="P84" s="98"/>
      <c r="Q84" s="1"/>
    </row>
    <row r="85" spans="1:17" ht="15">
      <c r="A85" s="1"/>
      <c r="B85" s="10"/>
      <c r="C85" s="10"/>
      <c r="D85" s="10"/>
      <c r="E85" s="77" t="s">
        <v>583</v>
      </c>
      <c r="F85" s="77" t="s">
        <v>406</v>
      </c>
      <c r="G85" s="1"/>
      <c r="H85" s="1"/>
      <c r="I85" s="1"/>
      <c r="J85" s="1"/>
      <c r="K85" s="1"/>
      <c r="L85" s="1"/>
      <c r="M85" s="98"/>
      <c r="N85" s="1"/>
      <c r="O85" s="1"/>
      <c r="P85" s="98"/>
      <c r="Q85" s="1"/>
    </row>
    <row r="86" spans="1:17" ht="15">
      <c r="A86" s="1"/>
      <c r="B86" s="10"/>
      <c r="C86" s="10"/>
      <c r="D86" s="10"/>
      <c r="E86" s="77" t="s">
        <v>583</v>
      </c>
      <c r="F86" s="77" t="s">
        <v>412</v>
      </c>
      <c r="G86" s="1"/>
      <c r="H86" s="1"/>
      <c r="I86" s="1"/>
      <c r="J86" s="1"/>
      <c r="K86" s="1"/>
      <c r="L86" s="1"/>
      <c r="M86" s="98"/>
      <c r="N86" s="1"/>
      <c r="O86" s="1"/>
      <c r="P86" s="98"/>
      <c r="Q86" s="1"/>
    </row>
    <row r="87" spans="1:17" ht="15">
      <c r="A87" s="1"/>
      <c r="B87" s="10"/>
      <c r="C87" s="10"/>
      <c r="D87" s="10"/>
      <c r="E87" s="77" t="s">
        <v>583</v>
      </c>
      <c r="F87" s="77" t="s">
        <v>419</v>
      </c>
      <c r="G87" s="1"/>
      <c r="H87" s="1"/>
      <c r="I87" s="1"/>
      <c r="J87" s="1"/>
      <c r="K87" s="1"/>
      <c r="L87" s="1"/>
      <c r="M87" s="98"/>
      <c r="N87" s="1"/>
      <c r="O87" s="1"/>
      <c r="P87" s="98"/>
      <c r="Q87" s="1"/>
    </row>
    <row r="88" spans="1:17" ht="15">
      <c r="A88" s="1"/>
      <c r="B88" s="10"/>
      <c r="C88" s="10"/>
      <c r="D88" s="10"/>
      <c r="E88" s="77" t="s">
        <v>583</v>
      </c>
      <c r="F88" s="77" t="s">
        <v>421</v>
      </c>
      <c r="G88" s="1"/>
      <c r="H88" s="1"/>
      <c r="I88" s="1"/>
      <c r="J88" s="1"/>
      <c r="K88" s="1"/>
      <c r="L88" s="1"/>
      <c r="M88" s="98"/>
      <c r="N88" s="1"/>
      <c r="O88" s="1"/>
      <c r="P88" s="98"/>
      <c r="Q88" s="1"/>
    </row>
    <row r="89" spans="1:17" ht="15">
      <c r="A89" s="1"/>
      <c r="B89" s="10"/>
      <c r="C89" s="10"/>
      <c r="D89" s="10"/>
      <c r="E89" s="77" t="s">
        <v>583</v>
      </c>
      <c r="F89" s="77" t="s">
        <v>410</v>
      </c>
      <c r="G89" s="1"/>
      <c r="H89" s="1"/>
      <c r="I89" s="1"/>
      <c r="J89" s="1"/>
      <c r="K89" s="1"/>
      <c r="L89" s="1"/>
      <c r="M89" s="98"/>
      <c r="N89" s="1"/>
      <c r="O89" s="1"/>
      <c r="P89" s="98"/>
      <c r="Q89" s="1"/>
    </row>
    <row r="90" spans="1:17" ht="15">
      <c r="A90" s="1"/>
      <c r="B90" s="10"/>
      <c r="C90" s="10"/>
      <c r="D90" s="10"/>
      <c r="E90" s="77" t="s">
        <v>583</v>
      </c>
      <c r="F90" s="77" t="s">
        <v>425</v>
      </c>
      <c r="G90" s="1"/>
      <c r="H90" s="1"/>
      <c r="I90" s="1"/>
      <c r="J90" s="1"/>
      <c r="K90" s="1"/>
      <c r="L90" s="1"/>
      <c r="M90" s="98"/>
      <c r="N90" s="1"/>
      <c r="O90" s="1"/>
      <c r="P90" s="98"/>
      <c r="Q90" s="1"/>
    </row>
    <row r="91" spans="1:17" ht="15">
      <c r="A91" s="1"/>
      <c r="B91" s="10"/>
      <c r="C91" s="10"/>
      <c r="D91" s="10"/>
      <c r="E91" s="77" t="s">
        <v>583</v>
      </c>
      <c r="F91" s="77" t="s">
        <v>432</v>
      </c>
      <c r="G91" s="1"/>
      <c r="H91" s="1"/>
      <c r="I91" s="1"/>
      <c r="J91" s="1"/>
      <c r="K91" s="1"/>
      <c r="L91" s="1"/>
      <c r="M91" s="98"/>
      <c r="N91" s="1"/>
      <c r="O91" s="1"/>
      <c r="P91" s="98"/>
      <c r="Q91" s="1"/>
    </row>
    <row r="92" spans="1:17" ht="15">
      <c r="A92" s="1"/>
      <c r="B92" s="10"/>
      <c r="C92" s="10"/>
      <c r="D92" s="10"/>
      <c r="E92" s="77" t="s">
        <v>583</v>
      </c>
      <c r="F92" s="77" t="s">
        <v>434</v>
      </c>
      <c r="G92" s="1"/>
      <c r="H92" s="1"/>
      <c r="I92" s="1"/>
      <c r="J92" s="1"/>
      <c r="K92" s="1"/>
      <c r="L92" s="1"/>
      <c r="M92" s="98"/>
      <c r="N92" s="1"/>
      <c r="O92" s="1"/>
      <c r="P92" s="98"/>
      <c r="Q92" s="1"/>
    </row>
    <row r="93" spans="1:17" ht="15">
      <c r="A93" s="1"/>
      <c r="B93" s="10"/>
      <c r="C93" s="10"/>
      <c r="D93" s="10"/>
      <c r="E93" s="77" t="s">
        <v>583</v>
      </c>
      <c r="F93" s="77" t="s">
        <v>436</v>
      </c>
      <c r="G93" s="1"/>
      <c r="H93" s="1"/>
      <c r="I93" s="1"/>
      <c r="J93" s="1"/>
      <c r="K93" s="1"/>
      <c r="L93" s="1"/>
      <c r="M93" s="98"/>
      <c r="N93" s="1"/>
      <c r="O93" s="1"/>
      <c r="P93" s="98"/>
      <c r="Q93" s="1"/>
    </row>
    <row r="94" spans="1:17" ht="15">
      <c r="A94" s="1"/>
      <c r="B94" s="10"/>
      <c r="C94" s="10"/>
      <c r="D94" s="10"/>
      <c r="E94" s="77" t="s">
        <v>583</v>
      </c>
      <c r="F94" s="77" t="s">
        <v>394</v>
      </c>
      <c r="G94" s="1"/>
      <c r="H94" s="1"/>
      <c r="I94" s="1"/>
      <c r="J94" s="1"/>
      <c r="K94" s="1"/>
      <c r="L94" s="1"/>
      <c r="M94" s="98"/>
      <c r="N94" s="1"/>
      <c r="O94" s="1"/>
      <c r="P94" s="98"/>
      <c r="Q94" s="1"/>
    </row>
    <row r="95" spans="1:17" ht="15">
      <c r="A95" s="1"/>
      <c r="B95" s="10"/>
      <c r="C95" s="10"/>
      <c r="D95" s="10"/>
      <c r="E95" s="77" t="s">
        <v>583</v>
      </c>
      <c r="F95" s="77" t="s">
        <v>438</v>
      </c>
      <c r="G95" s="1"/>
      <c r="H95" s="1"/>
      <c r="I95" s="1"/>
      <c r="J95" s="1"/>
      <c r="K95" s="1"/>
      <c r="L95" s="1"/>
      <c r="M95" s="98"/>
      <c r="N95" s="1"/>
      <c r="O95" s="1"/>
      <c r="P95" s="98"/>
      <c r="Q95" s="1"/>
    </row>
    <row r="96" spans="1:17" ht="15">
      <c r="A96" s="1"/>
      <c r="B96" s="10"/>
      <c r="C96" s="10"/>
      <c r="D96" s="10"/>
      <c r="E96" s="77" t="s">
        <v>583</v>
      </c>
      <c r="F96" s="77" t="s">
        <v>440</v>
      </c>
      <c r="G96" s="1"/>
      <c r="H96" s="1"/>
      <c r="I96" s="1"/>
      <c r="J96" s="1"/>
      <c r="K96" s="1"/>
      <c r="L96" s="1"/>
      <c r="M96" s="98"/>
      <c r="N96" s="1"/>
      <c r="O96" s="1"/>
      <c r="P96" s="98"/>
      <c r="Q96" s="1"/>
    </row>
    <row r="97" spans="1:17" ht="15">
      <c r="A97" s="1"/>
      <c r="B97" s="10"/>
      <c r="C97" s="10"/>
      <c r="D97" s="10"/>
      <c r="E97" s="77" t="s">
        <v>583</v>
      </c>
      <c r="F97" s="77" t="s">
        <v>442</v>
      </c>
      <c r="G97" s="1"/>
      <c r="H97" s="1"/>
      <c r="I97" s="1"/>
      <c r="J97" s="1"/>
      <c r="K97" s="1"/>
      <c r="L97" s="1"/>
      <c r="M97" s="98"/>
      <c r="N97" s="1"/>
      <c r="O97" s="1"/>
      <c r="P97" s="98"/>
      <c r="Q97" s="1"/>
    </row>
    <row r="98" spans="1:17" ht="15">
      <c r="A98" s="1"/>
      <c r="B98" s="10"/>
      <c r="C98" s="10"/>
      <c r="D98" s="10"/>
      <c r="E98" s="77" t="s">
        <v>583</v>
      </c>
      <c r="F98" s="77" t="s">
        <v>408</v>
      </c>
      <c r="G98" s="1"/>
      <c r="H98" s="1"/>
      <c r="I98" s="1"/>
      <c r="J98" s="1"/>
      <c r="K98" s="1"/>
      <c r="L98" s="1"/>
      <c r="M98" s="98"/>
      <c r="N98" s="1"/>
      <c r="O98" s="1"/>
      <c r="P98" s="98"/>
      <c r="Q98" s="1"/>
    </row>
    <row r="99" spans="1:17" ht="15">
      <c r="A99" s="1"/>
      <c r="B99" s="10"/>
      <c r="C99" s="10"/>
      <c r="D99" s="10"/>
      <c r="E99" s="77" t="s">
        <v>583</v>
      </c>
      <c r="F99" s="77" t="s">
        <v>423</v>
      </c>
      <c r="G99" s="1"/>
      <c r="H99" s="1"/>
      <c r="I99" s="1"/>
      <c r="J99" s="1"/>
      <c r="K99" s="1"/>
      <c r="L99" s="1"/>
      <c r="M99" s="98"/>
      <c r="N99" s="1"/>
      <c r="O99" s="1"/>
      <c r="P99" s="98"/>
      <c r="Q99" s="1"/>
    </row>
    <row r="100" spans="1:17" ht="15">
      <c r="A100" s="1"/>
      <c r="B100" s="10"/>
      <c r="C100" s="10"/>
      <c r="D100" s="10"/>
      <c r="E100" s="77" t="s">
        <v>583</v>
      </c>
      <c r="F100" s="77" t="s">
        <v>444</v>
      </c>
      <c r="G100" s="1"/>
      <c r="H100" s="1"/>
      <c r="I100" s="1"/>
      <c r="J100" s="1"/>
      <c r="K100" s="1"/>
      <c r="L100" s="1"/>
      <c r="M100" s="98"/>
      <c r="N100" s="1"/>
      <c r="O100" s="1"/>
      <c r="P100" s="98"/>
      <c r="Q100" s="1"/>
    </row>
    <row r="101" spans="1:17" ht="15">
      <c r="A101" s="1"/>
      <c r="B101" s="10"/>
      <c r="C101" s="10"/>
      <c r="D101" s="10"/>
      <c r="E101" s="77" t="s">
        <v>583</v>
      </c>
      <c r="F101" s="77" t="s">
        <v>417</v>
      </c>
      <c r="G101" s="1"/>
      <c r="H101" s="1"/>
      <c r="I101" s="1"/>
      <c r="J101" s="1"/>
      <c r="K101" s="1"/>
      <c r="L101" s="1"/>
      <c r="M101" s="98"/>
      <c r="N101" s="1"/>
      <c r="O101" s="1"/>
      <c r="P101" s="98"/>
      <c r="Q101" s="1"/>
    </row>
    <row r="102" spans="1:17" ht="15">
      <c r="A102" s="1"/>
      <c r="B102" s="10"/>
      <c r="C102" s="10"/>
      <c r="D102" s="10"/>
      <c r="E102" s="77" t="s">
        <v>583</v>
      </c>
      <c r="F102" s="77" t="s">
        <v>430</v>
      </c>
      <c r="G102" s="1"/>
      <c r="H102" s="1"/>
      <c r="I102" s="1"/>
      <c r="J102" s="1"/>
      <c r="K102" s="1"/>
      <c r="L102" s="1"/>
      <c r="M102" s="98"/>
      <c r="N102" s="1"/>
      <c r="O102" s="1"/>
      <c r="P102" s="98"/>
      <c r="Q102" s="1"/>
    </row>
    <row r="103" spans="1:17" ht="15">
      <c r="A103" s="1"/>
      <c r="B103" s="10"/>
      <c r="C103" s="10"/>
      <c r="D103" s="10"/>
      <c r="E103" s="77" t="s">
        <v>583</v>
      </c>
      <c r="F103" s="77" t="s">
        <v>494</v>
      </c>
      <c r="G103" s="1"/>
      <c r="H103" s="1"/>
      <c r="I103" s="1"/>
      <c r="J103" s="1"/>
      <c r="K103" s="1"/>
      <c r="L103" s="1"/>
      <c r="M103" s="98"/>
      <c r="N103" s="1"/>
      <c r="O103" s="1"/>
      <c r="P103" s="98"/>
      <c r="Q103" s="1"/>
    </row>
    <row r="104" spans="1:17" ht="15">
      <c r="A104" s="1"/>
      <c r="B104" s="10"/>
      <c r="C104" s="10"/>
      <c r="D104" s="10"/>
      <c r="E104" s="77" t="s">
        <v>583</v>
      </c>
      <c r="F104" s="77" t="s">
        <v>446</v>
      </c>
      <c r="G104" s="1"/>
      <c r="H104" s="1"/>
      <c r="I104" s="1"/>
      <c r="J104" s="1"/>
      <c r="K104" s="1"/>
      <c r="L104" s="1"/>
      <c r="M104" s="98"/>
      <c r="N104" s="1"/>
      <c r="O104" s="1"/>
      <c r="P104" s="98"/>
      <c r="Q104" s="1"/>
    </row>
    <row r="105" spans="1:17" ht="15">
      <c r="A105" s="1"/>
      <c r="B105" s="10"/>
      <c r="C105" s="10"/>
      <c r="D105" s="10"/>
      <c r="E105" s="77" t="s">
        <v>195</v>
      </c>
      <c r="F105" s="77" t="s">
        <v>196</v>
      </c>
      <c r="G105" s="1"/>
      <c r="H105" s="1"/>
      <c r="I105" s="1"/>
      <c r="J105" s="1"/>
      <c r="K105" s="1"/>
      <c r="L105" s="1"/>
      <c r="M105" s="98"/>
      <c r="N105" s="1"/>
      <c r="O105" s="1"/>
      <c r="P105" s="98"/>
      <c r="Q105" s="1"/>
    </row>
    <row r="106" spans="1:17" ht="15">
      <c r="A106" s="1"/>
      <c r="B106" s="10"/>
      <c r="C106" s="10"/>
      <c r="D106" s="10"/>
      <c r="E106" s="77" t="s">
        <v>195</v>
      </c>
      <c r="F106" s="77" t="s">
        <v>227</v>
      </c>
      <c r="G106" s="1"/>
      <c r="H106" s="1"/>
      <c r="I106" s="1"/>
      <c r="J106" s="1"/>
      <c r="K106" s="1"/>
      <c r="L106" s="1"/>
      <c r="M106" s="98"/>
      <c r="N106" s="1"/>
      <c r="O106" s="1"/>
      <c r="P106" s="98"/>
      <c r="Q106" s="1"/>
    </row>
    <row r="107" spans="1:17" ht="15">
      <c r="A107" s="1"/>
      <c r="B107" s="10"/>
      <c r="C107" s="10"/>
      <c r="D107" s="10"/>
      <c r="E107" s="77" t="s">
        <v>195</v>
      </c>
      <c r="F107" s="77" t="s">
        <v>236</v>
      </c>
      <c r="G107" s="1"/>
      <c r="H107" s="1"/>
      <c r="I107" s="1"/>
      <c r="J107" s="1"/>
      <c r="K107" s="1"/>
      <c r="L107" s="1"/>
      <c r="M107" s="98"/>
      <c r="N107" s="1"/>
      <c r="O107" s="1"/>
      <c r="P107" s="98"/>
      <c r="Q107" s="1"/>
    </row>
    <row r="108" spans="1:17" ht="15">
      <c r="A108" s="1"/>
      <c r="B108" s="10"/>
      <c r="C108" s="10"/>
      <c r="D108" s="10"/>
      <c r="E108" s="77" t="s">
        <v>195</v>
      </c>
      <c r="F108" s="77" t="s">
        <v>239</v>
      </c>
      <c r="G108" s="1"/>
      <c r="H108" s="1"/>
      <c r="I108" s="1"/>
      <c r="J108" s="1"/>
      <c r="K108" s="1"/>
      <c r="L108" s="1"/>
      <c r="M108" s="98"/>
      <c r="N108" s="1"/>
      <c r="O108" s="1"/>
      <c r="P108" s="98"/>
      <c r="Q108" s="1"/>
    </row>
    <row r="109" spans="1:17" ht="15">
      <c r="A109" s="1"/>
      <c r="B109" s="10"/>
      <c r="C109" s="10"/>
      <c r="D109" s="10"/>
      <c r="E109" s="77" t="s">
        <v>195</v>
      </c>
      <c r="F109" s="77" t="s">
        <v>293</v>
      </c>
      <c r="G109" s="1"/>
      <c r="H109" s="1"/>
      <c r="I109" s="1"/>
      <c r="J109" s="1"/>
      <c r="K109" s="1"/>
      <c r="L109" s="1"/>
      <c r="M109" s="98"/>
      <c r="N109" s="1"/>
      <c r="O109" s="1"/>
      <c r="P109" s="98"/>
      <c r="Q109" s="1"/>
    </row>
    <row r="110" spans="1:17" ht="15">
      <c r="A110" s="1"/>
      <c r="B110" s="10"/>
      <c r="C110" s="10"/>
      <c r="D110" s="10"/>
      <c r="E110" s="77" t="s">
        <v>195</v>
      </c>
      <c r="F110" s="77" t="s">
        <v>246</v>
      </c>
      <c r="G110" s="1"/>
      <c r="H110" s="1"/>
      <c r="I110" s="1"/>
      <c r="J110" s="1"/>
      <c r="K110" s="1"/>
      <c r="L110" s="1"/>
      <c r="M110" s="98"/>
      <c r="N110" s="1"/>
      <c r="O110" s="1"/>
      <c r="P110" s="98"/>
      <c r="Q110" s="1"/>
    </row>
    <row r="111" spans="1:17" ht="15">
      <c r="A111" s="1"/>
      <c r="B111" s="10"/>
      <c r="C111" s="10"/>
      <c r="D111" s="10"/>
      <c r="E111" s="77" t="s">
        <v>195</v>
      </c>
      <c r="F111" s="77" t="s">
        <v>473</v>
      </c>
      <c r="G111" s="1"/>
      <c r="H111" s="1"/>
      <c r="I111" s="1"/>
      <c r="J111" s="1"/>
      <c r="K111" s="1"/>
      <c r="L111" s="1"/>
      <c r="M111" s="98"/>
      <c r="N111" s="1"/>
      <c r="O111" s="1"/>
      <c r="P111" s="98"/>
      <c r="Q111" s="1"/>
    </row>
    <row r="112" spans="1:17" ht="15">
      <c r="A112" s="1"/>
      <c r="B112" s="10"/>
      <c r="C112" s="10"/>
      <c r="D112" s="10"/>
      <c r="E112" s="77" t="s">
        <v>195</v>
      </c>
      <c r="F112" s="77" t="s">
        <v>242</v>
      </c>
      <c r="G112" s="1"/>
      <c r="H112" s="1"/>
      <c r="I112" s="1"/>
      <c r="J112" s="1"/>
      <c r="K112" s="1"/>
      <c r="L112" s="1"/>
      <c r="M112" s="98"/>
      <c r="N112" s="1"/>
      <c r="O112" s="1"/>
      <c r="P112" s="98"/>
      <c r="Q112" s="1"/>
    </row>
    <row r="113" spans="1:17" ht="15">
      <c r="A113" s="1"/>
      <c r="B113" s="10"/>
      <c r="C113" s="10"/>
      <c r="D113" s="10"/>
      <c r="E113" s="77" t="s">
        <v>195</v>
      </c>
      <c r="F113" s="77" t="s">
        <v>259</v>
      </c>
      <c r="G113" s="1"/>
      <c r="H113" s="1"/>
      <c r="I113" s="1"/>
      <c r="J113" s="1"/>
      <c r="K113" s="1"/>
      <c r="L113" s="1"/>
      <c r="M113" s="98"/>
      <c r="N113" s="1"/>
      <c r="O113" s="1"/>
      <c r="P113" s="98"/>
      <c r="Q113" s="1"/>
    </row>
    <row r="114" spans="1:17" ht="15">
      <c r="A114" s="1"/>
      <c r="B114" s="10"/>
      <c r="C114" s="10"/>
      <c r="D114" s="10"/>
      <c r="E114" s="77" t="s">
        <v>195</v>
      </c>
      <c r="F114" s="77" t="s">
        <v>229</v>
      </c>
      <c r="G114" s="1"/>
      <c r="H114" s="1"/>
      <c r="I114" s="1"/>
      <c r="J114" s="1"/>
      <c r="K114" s="1"/>
      <c r="L114" s="1"/>
      <c r="M114" s="98"/>
      <c r="N114" s="1"/>
      <c r="O114" s="1"/>
      <c r="P114" s="98"/>
      <c r="Q114" s="1"/>
    </row>
    <row r="115" spans="1:17" ht="15">
      <c r="A115" s="1"/>
      <c r="B115" s="10"/>
      <c r="C115" s="10"/>
      <c r="D115" s="10"/>
      <c r="E115" s="77" t="s">
        <v>195</v>
      </c>
      <c r="F115" s="77" t="s">
        <v>231</v>
      </c>
      <c r="G115" s="1"/>
      <c r="H115" s="1"/>
      <c r="I115" s="1"/>
      <c r="J115" s="1"/>
      <c r="K115" s="1"/>
      <c r="L115" s="1"/>
      <c r="M115" s="98"/>
      <c r="N115" s="1"/>
      <c r="O115" s="1"/>
      <c r="P115" s="98"/>
      <c r="Q115" s="1"/>
    </row>
    <row r="116" spans="1:17" ht="15">
      <c r="A116" s="1"/>
      <c r="B116" s="10"/>
      <c r="C116" s="10"/>
      <c r="D116" s="10"/>
      <c r="E116" s="77" t="s">
        <v>195</v>
      </c>
      <c r="F116" s="77" t="s">
        <v>234</v>
      </c>
      <c r="G116" s="1"/>
      <c r="H116" s="1"/>
      <c r="I116" s="1"/>
      <c r="J116" s="1"/>
      <c r="K116" s="1"/>
      <c r="L116" s="1"/>
      <c r="M116" s="98"/>
      <c r="N116" s="1"/>
      <c r="O116" s="1"/>
      <c r="P116" s="98"/>
      <c r="Q116" s="1"/>
    </row>
    <row r="117" spans="1:17" ht="15">
      <c r="A117" s="1"/>
      <c r="B117" s="10"/>
      <c r="C117" s="10"/>
      <c r="D117" s="10"/>
      <c r="E117" s="77" t="s">
        <v>195</v>
      </c>
      <c r="F117" s="77" t="s">
        <v>244</v>
      </c>
      <c r="G117" s="1"/>
      <c r="H117" s="1"/>
      <c r="I117" s="1"/>
      <c r="J117" s="1"/>
      <c r="K117" s="1"/>
      <c r="L117" s="1"/>
      <c r="M117" s="98"/>
      <c r="N117" s="1"/>
      <c r="O117" s="1"/>
      <c r="P117" s="98"/>
      <c r="Q117" s="1"/>
    </row>
    <row r="118" spans="1:17" ht="15">
      <c r="A118" s="1"/>
      <c r="B118" s="10"/>
      <c r="C118" s="10"/>
      <c r="D118" s="10"/>
      <c r="E118" s="77" t="s">
        <v>214</v>
      </c>
      <c r="F118" s="77" t="s">
        <v>217</v>
      </c>
      <c r="G118" s="1"/>
      <c r="H118" s="1"/>
      <c r="I118" s="1"/>
      <c r="J118" s="1"/>
      <c r="K118" s="1"/>
      <c r="L118" s="1"/>
      <c r="M118" s="98"/>
      <c r="N118" s="1"/>
      <c r="O118" s="1"/>
      <c r="P118" s="98"/>
      <c r="Q118" s="1"/>
    </row>
    <row r="119" spans="1:17" ht="15">
      <c r="A119" s="1"/>
      <c r="B119" s="10"/>
      <c r="C119" s="10"/>
      <c r="D119" s="10"/>
      <c r="E119" s="77" t="s">
        <v>214</v>
      </c>
      <c r="F119" s="77" t="s">
        <v>248</v>
      </c>
      <c r="G119" s="1"/>
      <c r="H119" s="1"/>
      <c r="I119" s="1"/>
      <c r="J119" s="1"/>
      <c r="K119" s="1"/>
      <c r="L119" s="1"/>
      <c r="M119" s="98"/>
      <c r="N119" s="1"/>
      <c r="O119" s="1"/>
      <c r="P119" s="98"/>
      <c r="Q119" s="1"/>
    </row>
    <row r="120" spans="1:17" ht="15">
      <c r="A120" s="1"/>
      <c r="B120" s="10"/>
      <c r="C120" s="10"/>
      <c r="D120" s="10"/>
      <c r="E120" s="77" t="s">
        <v>214</v>
      </c>
      <c r="F120" s="77" t="s">
        <v>283</v>
      </c>
      <c r="G120" s="1"/>
      <c r="H120" s="1"/>
      <c r="I120" s="1"/>
      <c r="J120" s="1"/>
      <c r="K120" s="1"/>
      <c r="L120" s="1"/>
      <c r="M120" s="98"/>
      <c r="N120" s="1"/>
      <c r="O120" s="1"/>
      <c r="P120" s="98"/>
      <c r="Q120" s="1"/>
    </row>
    <row r="121" spans="1:17" ht="15">
      <c r="A121" s="1"/>
      <c r="B121" s="10"/>
      <c r="C121" s="10"/>
      <c r="D121" s="10"/>
      <c r="E121" s="77" t="s">
        <v>214</v>
      </c>
      <c r="F121" s="77" t="s">
        <v>266</v>
      </c>
      <c r="G121" s="1"/>
      <c r="H121" s="1"/>
      <c r="I121" s="1"/>
      <c r="J121" s="1"/>
      <c r="K121" s="1"/>
      <c r="L121" s="1"/>
      <c r="M121" s="98"/>
      <c r="N121" s="1"/>
      <c r="O121" s="1"/>
      <c r="P121" s="98"/>
      <c r="Q121" s="1"/>
    </row>
    <row r="122" spans="1:17" ht="15">
      <c r="A122" s="1"/>
      <c r="B122" s="10"/>
      <c r="C122" s="10"/>
      <c r="D122" s="10"/>
      <c r="E122" s="77" t="s">
        <v>214</v>
      </c>
      <c r="F122" s="77" t="s">
        <v>215</v>
      </c>
      <c r="G122" s="1"/>
      <c r="H122" s="1"/>
      <c r="I122" s="1"/>
      <c r="J122" s="1"/>
      <c r="K122" s="1"/>
      <c r="L122" s="1"/>
      <c r="M122" s="98"/>
      <c r="N122" s="1"/>
      <c r="O122" s="1"/>
      <c r="P122" s="98"/>
      <c r="Q122" s="1"/>
    </row>
    <row r="123" spans="1:17" ht="15">
      <c r="A123" s="1"/>
      <c r="B123" s="10"/>
      <c r="C123" s="10"/>
      <c r="D123" s="10"/>
      <c r="E123" s="77" t="s">
        <v>214</v>
      </c>
      <c r="F123" s="77" t="s">
        <v>225</v>
      </c>
      <c r="G123" s="1"/>
      <c r="H123" s="1"/>
      <c r="I123" s="1"/>
      <c r="J123" s="1"/>
      <c r="K123" s="1"/>
      <c r="L123" s="1"/>
      <c r="M123" s="98"/>
      <c r="N123" s="1"/>
      <c r="O123" s="1"/>
      <c r="P123" s="98"/>
      <c r="Q123" s="1"/>
    </row>
    <row r="124" spans="1:17" ht="15">
      <c r="A124" s="1"/>
      <c r="B124" s="10"/>
      <c r="C124" s="10"/>
      <c r="D124" s="10"/>
      <c r="E124" s="77" t="s">
        <v>214</v>
      </c>
      <c r="F124" s="77" t="s">
        <v>276</v>
      </c>
      <c r="G124" s="1"/>
      <c r="H124" s="1"/>
      <c r="I124" s="1"/>
      <c r="J124" s="1"/>
      <c r="K124" s="1"/>
      <c r="L124" s="1"/>
      <c r="M124" s="98"/>
      <c r="N124" s="1"/>
      <c r="O124" s="1"/>
      <c r="P124" s="98"/>
      <c r="Q124" s="1"/>
    </row>
    <row r="125" spans="1:17" ht="15">
      <c r="A125" s="1"/>
      <c r="B125" s="10"/>
      <c r="C125" s="10"/>
      <c r="D125" s="10"/>
      <c r="E125" s="77" t="s">
        <v>214</v>
      </c>
      <c r="F125" s="77" t="s">
        <v>428</v>
      </c>
      <c r="G125" s="1"/>
      <c r="H125" s="1"/>
      <c r="I125" s="1"/>
      <c r="J125" s="1"/>
      <c r="K125" s="1"/>
      <c r="L125" s="1"/>
      <c r="M125" s="98"/>
      <c r="N125" s="1"/>
      <c r="O125" s="1"/>
      <c r="P125" s="98"/>
      <c r="Q125" s="1"/>
    </row>
    <row r="126" spans="1:17" ht="15">
      <c r="A126" s="1"/>
      <c r="B126" s="10"/>
      <c r="C126" s="10"/>
      <c r="D126" s="10"/>
      <c r="E126" s="77" t="s">
        <v>214</v>
      </c>
      <c r="F126" s="77" t="s">
        <v>485</v>
      </c>
      <c r="G126" s="1"/>
      <c r="H126" s="1"/>
      <c r="I126" s="1"/>
      <c r="J126" s="1"/>
      <c r="K126" s="1"/>
      <c r="L126" s="1"/>
      <c r="M126" s="98"/>
      <c r="N126" s="1"/>
      <c r="O126" s="1"/>
      <c r="P126" s="98"/>
      <c r="Q126" s="1"/>
    </row>
    <row r="127" spans="1:17" ht="15">
      <c r="A127" s="1"/>
      <c r="B127" s="10"/>
      <c r="C127" s="10"/>
      <c r="D127" s="10"/>
      <c r="E127" s="77" t="s">
        <v>214</v>
      </c>
      <c r="F127" s="77" t="s">
        <v>510</v>
      </c>
      <c r="G127" s="1"/>
      <c r="H127" s="1"/>
      <c r="I127" s="1"/>
      <c r="J127" s="1"/>
      <c r="K127" s="1"/>
      <c r="L127" s="1"/>
      <c r="M127" s="98"/>
      <c r="N127" s="1"/>
      <c r="O127" s="1"/>
      <c r="P127" s="98"/>
      <c r="Q127" s="1"/>
    </row>
    <row r="128" spans="1:17" ht="15">
      <c r="A128" s="1"/>
      <c r="B128" s="10"/>
      <c r="C128" s="10"/>
      <c r="D128" s="10"/>
      <c r="E128" s="77" t="s">
        <v>214</v>
      </c>
      <c r="F128" s="77" t="s">
        <v>498</v>
      </c>
      <c r="G128" s="1"/>
      <c r="H128" s="1"/>
      <c r="I128" s="1"/>
      <c r="J128" s="1"/>
      <c r="K128" s="1"/>
      <c r="L128" s="1"/>
      <c r="M128" s="98"/>
      <c r="N128" s="1"/>
      <c r="O128" s="1"/>
      <c r="P128" s="98"/>
      <c r="Q128" s="1"/>
    </row>
    <row r="129" spans="1:17" ht="15">
      <c r="A129" s="1"/>
      <c r="B129" s="10"/>
      <c r="C129" s="10"/>
      <c r="D129" s="10"/>
      <c r="E129" s="77" t="s">
        <v>214</v>
      </c>
      <c r="F129" s="77" t="s">
        <v>512</v>
      </c>
      <c r="G129" s="1"/>
      <c r="H129" s="1"/>
      <c r="I129" s="1"/>
      <c r="J129" s="1"/>
      <c r="K129" s="1"/>
      <c r="L129" s="1"/>
      <c r="M129" s="98"/>
      <c r="N129" s="1"/>
      <c r="O129" s="1"/>
      <c r="P129" s="98"/>
      <c r="Q129" s="1"/>
    </row>
    <row r="130" spans="1:17" ht="15">
      <c r="A130" s="1"/>
      <c r="B130" s="10"/>
      <c r="C130" s="10"/>
      <c r="D130" s="10"/>
      <c r="E130" s="77" t="s">
        <v>214</v>
      </c>
      <c r="F130" s="77" t="s">
        <v>514</v>
      </c>
      <c r="G130" s="1"/>
      <c r="H130" s="1"/>
      <c r="I130" s="1"/>
      <c r="J130" s="1"/>
      <c r="K130" s="1"/>
      <c r="L130" s="1"/>
      <c r="M130" s="98"/>
      <c r="N130" s="1"/>
      <c r="O130" s="1"/>
      <c r="P130" s="98"/>
      <c r="Q130" s="1"/>
    </row>
    <row r="131" spans="1:17" ht="15">
      <c r="A131" s="1"/>
      <c r="B131" s="10"/>
      <c r="C131" s="10"/>
      <c r="D131" s="10"/>
      <c r="E131" s="77" t="s">
        <v>214</v>
      </c>
      <c r="F131" s="77" t="s">
        <v>308</v>
      </c>
      <c r="G131" s="1"/>
      <c r="H131" s="1"/>
      <c r="I131" s="1"/>
      <c r="J131" s="1"/>
      <c r="K131" s="1"/>
      <c r="L131" s="1"/>
      <c r="M131" s="98"/>
      <c r="N131" s="1"/>
      <c r="O131" s="1"/>
      <c r="P131" s="98"/>
      <c r="Q131" s="1"/>
    </row>
    <row r="132" spans="1:17" ht="15">
      <c r="A132" s="1"/>
      <c r="B132" s="10"/>
      <c r="C132" s="10"/>
      <c r="D132" s="10"/>
      <c r="E132" s="77" t="s">
        <v>214</v>
      </c>
      <c r="F132" s="77" t="s">
        <v>519</v>
      </c>
      <c r="G132" s="1"/>
      <c r="H132" s="1"/>
      <c r="I132" s="1"/>
      <c r="J132" s="1"/>
      <c r="K132" s="1"/>
      <c r="L132" s="1"/>
      <c r="M132" s="98"/>
      <c r="N132" s="1"/>
      <c r="O132" s="1"/>
      <c r="P132" s="98"/>
      <c r="Q132" s="1"/>
    </row>
    <row r="133" spans="1:17" ht="15">
      <c r="A133" s="1"/>
      <c r="B133" s="10"/>
      <c r="C133" s="10"/>
      <c r="D133" s="10"/>
      <c r="E133" s="77" t="s">
        <v>214</v>
      </c>
      <c r="F133" s="77" t="s">
        <v>219</v>
      </c>
      <c r="G133" s="1"/>
      <c r="H133" s="1"/>
      <c r="I133" s="1"/>
      <c r="J133" s="1"/>
      <c r="K133" s="1"/>
      <c r="L133" s="1"/>
      <c r="M133" s="98"/>
      <c r="N133" s="1"/>
      <c r="O133" s="1"/>
      <c r="P133" s="98"/>
      <c r="Q133" s="1"/>
    </row>
    <row r="134" spans="1:17" ht="15">
      <c r="A134" s="1"/>
      <c r="B134" s="10"/>
      <c r="C134" s="10"/>
      <c r="D134" s="10"/>
      <c r="E134" s="77" t="s">
        <v>214</v>
      </c>
      <c r="F134" s="77" t="s">
        <v>388</v>
      </c>
      <c r="G134" s="1"/>
      <c r="H134" s="1"/>
      <c r="I134" s="1"/>
      <c r="J134" s="1"/>
      <c r="K134" s="1"/>
      <c r="L134" s="1"/>
      <c r="M134" s="98"/>
      <c r="N134" s="1"/>
      <c r="O134" s="1"/>
      <c r="P134" s="98"/>
      <c r="Q134" s="1"/>
    </row>
    <row r="135" spans="1:17" ht="15">
      <c r="A135" s="1"/>
      <c r="B135" s="10"/>
      <c r="C135" s="10"/>
      <c r="D135" s="10"/>
      <c r="E135" s="77" t="s">
        <v>214</v>
      </c>
      <c r="F135" s="77" t="s">
        <v>268</v>
      </c>
      <c r="G135" s="1"/>
      <c r="H135" s="1"/>
      <c r="I135" s="1"/>
      <c r="J135" s="1"/>
      <c r="K135" s="1"/>
      <c r="L135" s="1"/>
      <c r="M135" s="98"/>
      <c r="N135" s="1"/>
      <c r="O135" s="1"/>
      <c r="P135" s="98"/>
      <c r="Q135" s="1"/>
    </row>
    <row r="136" spans="1:17" ht="15">
      <c r="A136" s="1"/>
      <c r="B136" s="10"/>
      <c r="C136" s="10"/>
      <c r="D136" s="10"/>
      <c r="E136" s="77" t="s">
        <v>214</v>
      </c>
      <c r="F136" s="77" t="s">
        <v>272</v>
      </c>
      <c r="G136" s="1"/>
      <c r="H136" s="1"/>
      <c r="I136" s="1"/>
      <c r="J136" s="1"/>
      <c r="K136" s="1"/>
      <c r="L136" s="1"/>
      <c r="M136" s="98"/>
      <c r="N136" s="1"/>
      <c r="O136" s="1"/>
      <c r="P136" s="98"/>
      <c r="Q136" s="1"/>
    </row>
    <row r="137" spans="1:17" ht="15">
      <c r="A137" s="1"/>
      <c r="B137" s="10"/>
      <c r="C137" s="10"/>
      <c r="D137" s="10"/>
      <c r="E137" s="77" t="s">
        <v>214</v>
      </c>
      <c r="F137" s="77" t="s">
        <v>223</v>
      </c>
      <c r="G137" s="1"/>
      <c r="H137" s="1"/>
      <c r="I137" s="1"/>
      <c r="J137" s="1"/>
      <c r="K137" s="1"/>
      <c r="L137" s="1"/>
      <c r="M137" s="98"/>
      <c r="N137" s="1"/>
      <c r="O137" s="1"/>
      <c r="P137" s="98"/>
      <c r="Q137" s="1"/>
    </row>
    <row r="138" spans="1:17" ht="15">
      <c r="A138" s="1"/>
      <c r="B138" s="10"/>
      <c r="C138" s="10"/>
      <c r="D138" s="10"/>
      <c r="E138" s="77" t="s">
        <v>214</v>
      </c>
      <c r="F138" s="77" t="s">
        <v>270</v>
      </c>
      <c r="G138" s="1"/>
      <c r="H138" s="1"/>
      <c r="I138" s="1"/>
      <c r="J138" s="1"/>
      <c r="K138" s="1"/>
      <c r="L138" s="1"/>
      <c r="M138" s="98"/>
      <c r="N138" s="1"/>
      <c r="O138" s="1"/>
      <c r="P138" s="98"/>
      <c r="Q138" s="1"/>
    </row>
    <row r="139" spans="1:17" ht="15">
      <c r="A139" s="1"/>
      <c r="B139" s="10"/>
      <c r="C139" s="10"/>
      <c r="D139" s="10"/>
      <c r="E139" s="77" t="s">
        <v>214</v>
      </c>
      <c r="F139" s="77" t="s">
        <v>510</v>
      </c>
      <c r="G139" s="1"/>
      <c r="H139" s="1"/>
      <c r="I139" s="1"/>
      <c r="J139" s="1"/>
      <c r="K139" s="1"/>
      <c r="L139" s="1"/>
      <c r="M139" s="98"/>
      <c r="N139" s="1"/>
      <c r="O139" s="1"/>
      <c r="P139" s="98"/>
      <c r="Q139" s="1"/>
    </row>
    <row r="140" spans="1:17" ht="15">
      <c r="A140" s="1"/>
      <c r="B140" s="10"/>
      <c r="C140" s="10"/>
      <c r="D140" s="10"/>
      <c r="E140" s="77" t="s">
        <v>214</v>
      </c>
      <c r="F140" s="77" t="s">
        <v>428</v>
      </c>
      <c r="G140" s="1"/>
      <c r="H140" s="1"/>
      <c r="I140" s="1"/>
      <c r="J140" s="1"/>
      <c r="K140" s="1"/>
      <c r="L140" s="1"/>
      <c r="M140" s="98"/>
      <c r="N140" s="1"/>
      <c r="O140" s="1"/>
      <c r="P140" s="98"/>
      <c r="Q140" s="1"/>
    </row>
    <row r="141" spans="1:17" ht="15">
      <c r="A141" s="1"/>
      <c r="B141" s="10"/>
      <c r="C141" s="10"/>
      <c r="D141" s="10"/>
      <c r="E141" s="77" t="s">
        <v>214</v>
      </c>
      <c r="F141" s="77" t="s">
        <v>519</v>
      </c>
      <c r="G141" s="1"/>
      <c r="H141" s="1"/>
      <c r="I141" s="1"/>
      <c r="J141" s="1"/>
      <c r="K141" s="1"/>
      <c r="L141" s="1"/>
      <c r="M141" s="98"/>
      <c r="N141" s="1"/>
      <c r="O141" s="1"/>
      <c r="P141" s="98"/>
      <c r="Q141" s="1"/>
    </row>
    <row r="142" spans="1:17" ht="15">
      <c r="A142" s="1"/>
      <c r="B142" s="10"/>
      <c r="C142" s="10"/>
      <c r="D142" s="10"/>
      <c r="E142" s="77" t="s">
        <v>214</v>
      </c>
      <c r="F142" s="77" t="s">
        <v>521</v>
      </c>
      <c r="G142" s="1"/>
      <c r="H142" s="1"/>
      <c r="I142" s="1"/>
      <c r="J142" s="1"/>
      <c r="K142" s="1"/>
      <c r="L142" s="1"/>
      <c r="M142" s="98"/>
      <c r="N142" s="1"/>
      <c r="O142" s="1"/>
      <c r="P142" s="98"/>
      <c r="Q142" s="1"/>
    </row>
    <row r="143" spans="1:17" ht="15">
      <c r="A143" s="1"/>
      <c r="B143" s="10"/>
      <c r="C143" s="10"/>
      <c r="D143" s="10"/>
      <c r="E143" s="77" t="s">
        <v>214</v>
      </c>
      <c r="F143" s="77" t="s">
        <v>270</v>
      </c>
      <c r="G143" s="1"/>
      <c r="H143" s="1"/>
      <c r="I143" s="1"/>
      <c r="J143" s="1"/>
      <c r="K143" s="1"/>
      <c r="L143" s="1"/>
      <c r="M143" s="98"/>
      <c r="N143" s="1"/>
      <c r="O143" s="1"/>
      <c r="P143" s="98"/>
      <c r="Q143" s="1"/>
    </row>
  </sheetData>
  <mergeCells count="1">
    <mergeCell ref="E21:F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d106c7-ee2c-4632-86bd-a2de6e054678" xsi:nil="true"/>
    <lcf76f155ced4ddcb4097134ff3c332f xmlns="633eabdc-f5fa-4ca3-8a5e-f0216b91c8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E3B8AA770F17489900D02C7681ED16" ma:contentTypeVersion="12" ma:contentTypeDescription="Create a new document." ma:contentTypeScope="" ma:versionID="444ce2cd9b576eef26e834a16be17980">
  <xsd:schema xmlns:xsd="http://www.w3.org/2001/XMLSchema" xmlns:xs="http://www.w3.org/2001/XMLSchema" xmlns:p="http://schemas.microsoft.com/office/2006/metadata/properties" xmlns:ns2="633eabdc-f5fa-4ca3-8a5e-f0216b91c8a0" xmlns:ns3="d1d106c7-ee2c-4632-86bd-a2de6e054678" targetNamespace="http://schemas.microsoft.com/office/2006/metadata/properties" ma:root="true" ma:fieldsID="6e77469f9d0887d5fe4d4434758cf37f" ns2:_="" ns3:_="">
    <xsd:import namespace="633eabdc-f5fa-4ca3-8a5e-f0216b91c8a0"/>
    <xsd:import namespace="d1d106c7-ee2c-4632-86bd-a2de6e0546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3eabdc-f5fa-4ca3-8a5e-f0216b91c8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21ea87-04be-4f49-b073-54e412db3c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d106c7-ee2c-4632-86bd-a2de6e0546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80b513a-c9d4-4804-84e0-bd83f5ea434e}" ma:internalName="TaxCatchAll" ma:showField="CatchAllData" ma:web="d1d106c7-ee2c-4632-86bd-a2de6e0546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F2EDDF-9644-4F9C-9AF2-BA2A52819D2F}">
  <ds:schemaRefs>
    <ds:schemaRef ds:uri="http://schemas.microsoft.com/office/2006/metadata/properties"/>
    <ds:schemaRef ds:uri="http://schemas.microsoft.com/office/infopath/2007/PartnerControls"/>
    <ds:schemaRef ds:uri="d1d106c7-ee2c-4632-86bd-a2de6e054678"/>
    <ds:schemaRef ds:uri="633eabdc-f5fa-4ca3-8a5e-f0216b91c8a0"/>
  </ds:schemaRefs>
</ds:datastoreItem>
</file>

<file path=customXml/itemProps2.xml><?xml version="1.0" encoding="utf-8"?>
<ds:datastoreItem xmlns:ds="http://schemas.openxmlformats.org/officeDocument/2006/customXml" ds:itemID="{5D41EAA7-272E-489E-94A5-6BDF2A1F82F8}">
  <ds:schemaRefs>
    <ds:schemaRef ds:uri="http://schemas.microsoft.com/sharepoint/v3/contenttype/forms"/>
  </ds:schemaRefs>
</ds:datastoreItem>
</file>

<file path=customXml/itemProps3.xml><?xml version="1.0" encoding="utf-8"?>
<ds:datastoreItem xmlns:ds="http://schemas.openxmlformats.org/officeDocument/2006/customXml" ds:itemID="{30B6F348-8C13-4383-8B71-6E328FCBB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3eabdc-f5fa-4ca3-8a5e-f0216b91c8a0"/>
    <ds:schemaRef ds:uri="d1d106c7-ee2c-4632-86bd-a2de6e054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MeritBonus</vt:lpstr>
      <vt:lpstr>Job Codes</vt:lpstr>
      <vt:lpstr>Dashboard</vt:lpstr>
      <vt:lpstr>Summary</vt:lpstr>
      <vt:lpstr>Performance Summary</vt:lpstr>
      <vt:lpstr>Statement</vt:lpstr>
      <vt:lpstr>Statement2</vt:lpstr>
      <vt:lpstr>Statement Letter</vt:lpstr>
      <vt:lpstr>Data</vt:lpstr>
      <vt:lpstr>CustomChartProperties</vt:lpstr>
      <vt:lpstr>Comp Planning Approach</vt:lpstr>
      <vt:lpstr>Department</vt:lpstr>
      <vt:lpstr>LocationList</vt:lpstr>
      <vt:lpstr>ManagerList</vt:lpstr>
      <vt:lpstr>PositionList</vt:lpstr>
      <vt:lpstr>RatingsList</vt:lpstr>
      <vt:lpstr>RegionList</vt:lpstr>
      <vt:lpstr>ssDepList</vt:lpstr>
      <vt:lpstr>StatusList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Kara Reester</cp:lastModifiedBy>
  <dcterms:created xsi:type="dcterms:W3CDTF">2025-08-29T18:35:43Z</dcterms:created>
  <dcterms:modified xsi:type="dcterms:W3CDTF">2025-08-29T18:35:43Z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0x010100EBE3B8AA770F17489900D02C7681ED16</vt:lpwstr>
  </property>
</Properties>
</file>